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лот1!$A$1:$AG$41</definedName>
  </definedNames>
  <calcPr calcId="125725"/>
</workbook>
</file>

<file path=xl/calcChain.xml><?xml version="1.0" encoding="utf-8"?>
<calcChain xmlns="http://schemas.openxmlformats.org/spreadsheetml/2006/main">
  <c r="AB34" i="3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V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Y34" s="1"/>
  <c r="Y36" s="1"/>
  <c r="X22"/>
  <c r="W22"/>
  <c r="W34" s="1"/>
  <c r="W36" s="1"/>
  <c r="V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Z34" s="1"/>
  <c r="Z36" s="1"/>
  <c r="Y14"/>
  <c r="X14"/>
  <c r="X34" s="1"/>
  <c r="X36" s="1"/>
  <c r="W14"/>
  <c r="V14"/>
  <c r="V34" s="1"/>
  <c r="V36" l="1"/>
  <c r="U33" l="1"/>
  <c r="T33"/>
  <c r="S33"/>
  <c r="U32"/>
  <c r="T32"/>
  <c r="S32"/>
  <c r="U31"/>
  <c r="T31"/>
  <c r="S31"/>
  <c r="U30"/>
  <c r="T30"/>
  <c r="S30"/>
  <c r="U29"/>
  <c r="U28" s="1"/>
  <c r="T29"/>
  <c r="S29"/>
  <c r="U27"/>
  <c r="T27"/>
  <c r="S27"/>
  <c r="U26"/>
  <c r="T26"/>
  <c r="S26"/>
  <c r="U25"/>
  <c r="T25"/>
  <c r="S25"/>
  <c r="U24"/>
  <c r="T24"/>
  <c r="S24"/>
  <c r="U23"/>
  <c r="U22" s="1"/>
  <c r="T23"/>
  <c r="S23"/>
  <c r="T22"/>
  <c r="U21"/>
  <c r="T21"/>
  <c r="S21"/>
  <c r="U20"/>
  <c r="T20"/>
  <c r="S20"/>
  <c r="U19"/>
  <c r="T19"/>
  <c r="S19"/>
  <c r="U18"/>
  <c r="T18"/>
  <c r="S18"/>
  <c r="U17"/>
  <c r="T17"/>
  <c r="S17"/>
  <c r="U16"/>
  <c r="T16"/>
  <c r="S16"/>
  <c r="U15"/>
  <c r="T15"/>
  <c r="T14" s="1"/>
  <c r="S15"/>
  <c r="S14" s="1"/>
  <c r="U14" l="1"/>
  <c r="U34" s="1"/>
  <c r="U36" s="1"/>
  <c r="T34"/>
  <c r="T36" s="1"/>
  <c r="T28"/>
  <c r="S22"/>
  <c r="S28"/>
  <c r="S34"/>
  <c r="S36" l="1"/>
  <c r="AC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P22" s="1"/>
  <c r="O23"/>
  <c r="O22" s="1"/>
  <c r="N23"/>
  <c r="Q22"/>
  <c r="N22"/>
  <c r="Q21"/>
  <c r="P21"/>
  <c r="O21"/>
  <c r="N21"/>
  <c r="Q20"/>
  <c r="P20"/>
  <c r="O20"/>
  <c r="N20"/>
  <c r="Q19"/>
  <c r="P19"/>
  <c r="O19"/>
  <c r="N19"/>
  <c r="Q18"/>
  <c r="P18"/>
  <c r="O18"/>
  <c r="N18"/>
  <c r="Q17"/>
  <c r="P17"/>
  <c r="O17"/>
  <c r="N17"/>
  <c r="Q16"/>
  <c r="P16"/>
  <c r="O16"/>
  <c r="N16"/>
  <c r="Q15"/>
  <c r="P15"/>
  <c r="O15"/>
  <c r="N15"/>
  <c r="Q14"/>
  <c r="P14"/>
  <c r="O14"/>
  <c r="N14"/>
  <c r="N34" s="1"/>
  <c r="N36" s="1"/>
  <c r="M31"/>
  <c r="M29"/>
  <c r="M27"/>
  <c r="M22" s="1"/>
  <c r="M14"/>
  <c r="M9"/>
  <c r="O34" l="1"/>
  <c r="O36" s="1"/>
  <c r="Q34"/>
  <c r="Q36" s="1"/>
  <c r="P34"/>
  <c r="P36" s="1"/>
  <c r="M28"/>
  <c r="M36" s="1"/>
  <c r="L33" l="1"/>
  <c r="L32"/>
  <c r="L31"/>
  <c r="L30"/>
  <c r="L29"/>
  <c r="L27"/>
  <c r="L26"/>
  <c r="L25"/>
  <c r="L24"/>
  <c r="L23"/>
  <c r="L21"/>
  <c r="L20"/>
  <c r="L19"/>
  <c r="L18"/>
  <c r="L17"/>
  <c r="L16"/>
  <c r="L15"/>
  <c r="L9"/>
  <c r="L14" l="1"/>
  <c r="L28"/>
  <c r="L22"/>
  <c r="K33"/>
  <c r="K32"/>
  <c r="K31"/>
  <c r="K30"/>
  <c r="K29"/>
  <c r="K27"/>
  <c r="K26"/>
  <c r="K25"/>
  <c r="K24"/>
  <c r="K23"/>
  <c r="K21"/>
  <c r="K20"/>
  <c r="K19"/>
  <c r="K18"/>
  <c r="K17"/>
  <c r="K16"/>
  <c r="K15"/>
  <c r="K9"/>
  <c r="J9"/>
  <c r="J33"/>
  <c r="J32"/>
  <c r="J31"/>
  <c r="J30"/>
  <c r="J29"/>
  <c r="J27"/>
  <c r="J26"/>
  <c r="J25"/>
  <c r="J24"/>
  <c r="J23"/>
  <c r="J21"/>
  <c r="J20"/>
  <c r="J19"/>
  <c r="J18"/>
  <c r="J17"/>
  <c r="J16"/>
  <c r="I33"/>
  <c r="I32"/>
  <c r="I31"/>
  <c r="I30"/>
  <c r="I29"/>
  <c r="I27"/>
  <c r="I26"/>
  <c r="I25"/>
  <c r="I24"/>
  <c r="I23"/>
  <c r="I21"/>
  <c r="I20"/>
  <c r="I19"/>
  <c r="I18"/>
  <c r="I17"/>
  <c r="I16"/>
  <c r="J15"/>
  <c r="I15"/>
  <c r="I9"/>
  <c r="L34" l="1"/>
  <c r="L36" s="1"/>
  <c r="K14"/>
  <c r="K28"/>
  <c r="K22"/>
  <c r="J22"/>
  <c r="J14"/>
  <c r="J28"/>
  <c r="H31"/>
  <c r="H14"/>
  <c r="H29"/>
  <c r="H26"/>
  <c r="H27"/>
  <c r="K34" l="1"/>
  <c r="K36" s="1"/>
  <c r="J34"/>
  <c r="J36" s="1"/>
  <c r="I22"/>
  <c r="H28"/>
  <c r="H22"/>
  <c r="H9"/>
  <c r="H36" l="1"/>
  <c r="I28"/>
  <c r="I14" l="1"/>
  <c r="I34" s="1"/>
  <c r="I36" l="1"/>
</calcChain>
</file>

<file path=xl/sharedStrings.xml><?xml version="1.0" encoding="utf-8"?>
<sst xmlns="http://schemas.openxmlformats.org/spreadsheetml/2006/main" count="105" uniqueCount="86">
  <si>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</si>
  <si>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</si>
  <si>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</si>
  <si>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</si>
  <si>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</si>
  <si>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</si>
  <si>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</si>
  <si>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</si>
  <si>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</si>
  <si>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</si>
  <si>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</si>
  <si>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</si>
  <si>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</si>
  <si>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</si>
  <si>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</si>
  <si>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</si>
  <si>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</si>
  <si>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</si>
  <si>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</si>
  <si>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</si>
  <si>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</si>
  <si>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</si>
  <si>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</si>
  <si>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</si>
  <si>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</si>
  <si>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</si>
  <si>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</si>
  <si>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</si>
  <si>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</si>
  <si>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</si>
  <si>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</si>
  <si>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</si>
  <si>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</si>
  <si>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</si>
  <si>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</si>
  <si>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</si>
  <si>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</si>
  <si>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</si>
  <si>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</si>
  <si>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</si>
  <si>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</si>
  <si>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</si>
  <si>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</si>
  <si>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</si>
  <si>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</si>
  <si>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</si>
  <si>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</si>
  <si>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</si>
  <si>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</si>
  <si>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</si>
  <si>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</si>
  <si>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</si>
  <si>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5</t>
  </si>
  <si>
    <t>Лот №1</t>
  </si>
  <si>
    <t>Жилой район Маймаксанский тер. округ</t>
  </si>
  <si>
    <t>Юнг ВМФ ул.</t>
  </si>
  <si>
    <t>Моряка, ул</t>
  </si>
  <si>
    <t>Котовского ул.</t>
  </si>
  <si>
    <t>3</t>
  </si>
  <si>
    <t>20</t>
  </si>
  <si>
    <t>12</t>
  </si>
  <si>
    <t>деревянный не благоустроенный с центр отопленим без канализ</t>
  </si>
  <si>
    <t>5, к.1</t>
  </si>
  <si>
    <t>5, к.2</t>
  </si>
  <si>
    <t>7, к.1</t>
  </si>
  <si>
    <t>деревянный не благоустроенный без канализации и центр отопления</t>
  </si>
  <si>
    <t>13,к1</t>
  </si>
  <si>
    <t>574,9</t>
  </si>
  <si>
    <t>590,8</t>
  </si>
  <si>
    <t>670,5</t>
  </si>
  <si>
    <t>612</t>
  </si>
  <si>
    <t>514,1</t>
  </si>
  <si>
    <t>532,9</t>
  </si>
  <si>
    <t>523,9</t>
  </si>
  <si>
    <t>513,3</t>
  </si>
  <si>
    <t>деревянный не благоустроенный с центр отопленим без канализ с водой</t>
  </si>
  <si>
    <t>Мирная ул.</t>
  </si>
  <si>
    <t>6</t>
  </si>
  <si>
    <t>1</t>
  </si>
  <si>
    <t>10,к.1</t>
  </si>
  <si>
    <t>337,8</t>
  </si>
  <si>
    <t>560,6</t>
  </si>
  <si>
    <t>546,8</t>
  </si>
  <si>
    <t>320,6</t>
  </si>
  <si>
    <t>10, к.3</t>
  </si>
  <si>
    <t>Приложение № 2 к конкурсной документации</t>
  </si>
</sst>
</file>

<file path=xl/styles.xml><?xml version="1.0" encoding="utf-8"?>
<styleSheet xmlns="http://schemas.openxmlformats.org/spreadsheetml/2006/main">
  <fonts count="20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0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5" xfId="0" applyNumberFormat="1" applyFont="1" applyFill="1" applyBorder="1" applyAlignment="1">
      <alignment horizontal="center"/>
    </xf>
    <xf numFmtId="4" fontId="10" fillId="2" borderId="12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left"/>
    </xf>
    <xf numFmtId="0" fontId="6" fillId="0" borderId="0" xfId="0" applyFont="1" applyAlignment="1">
      <alignment horizontal="right"/>
    </xf>
    <xf numFmtId="0" fontId="12" fillId="0" borderId="0" xfId="0" applyNumberFormat="1" applyFont="1" applyAlignment="1"/>
    <xf numFmtId="4" fontId="2" fillId="0" borderId="0" xfId="0" applyNumberFormat="1" applyFont="1" applyAlignment="1"/>
    <xf numFmtId="4" fontId="8" fillId="2" borderId="0" xfId="0" applyNumberFormat="1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left" wrapText="1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6" fillId="2" borderId="5" xfId="0" applyNumberFormat="1" applyFont="1" applyFill="1" applyBorder="1" applyAlignment="1">
      <alignment horizontal="center" vertical="top"/>
    </xf>
    <xf numFmtId="4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 vertical="top"/>
    </xf>
    <xf numFmtId="4" fontId="15" fillId="2" borderId="1" xfId="0" applyNumberFormat="1" applyFont="1" applyFill="1" applyBorder="1" applyAlignment="1">
      <alignment horizontal="center" vertical="top" wrapText="1"/>
    </xf>
    <xf numFmtId="4" fontId="15" fillId="2" borderId="1" xfId="0" applyNumberFormat="1" applyFont="1" applyFill="1" applyBorder="1" applyAlignment="1">
      <alignment horizontal="center" wrapText="1"/>
    </xf>
    <xf numFmtId="4" fontId="15" fillId="2" borderId="12" xfId="0" applyNumberFormat="1" applyFont="1" applyFill="1" applyBorder="1" applyAlignment="1">
      <alignment horizontal="left" vertical="top"/>
    </xf>
    <xf numFmtId="4" fontId="15" fillId="2" borderId="13" xfId="0" applyNumberFormat="1" applyFont="1" applyFill="1" applyBorder="1" applyAlignment="1">
      <alignment horizontal="left" vertical="top"/>
    </xf>
    <xf numFmtId="4" fontId="16" fillId="2" borderId="5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Alignment="1">
      <alignment horizontal="right"/>
    </xf>
    <xf numFmtId="4" fontId="15" fillId="2" borderId="5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 vertical="top"/>
    </xf>
    <xf numFmtId="4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4" fontId="15" fillId="2" borderId="5" xfId="0" applyNumberFormat="1" applyFont="1" applyFill="1" applyBorder="1" applyAlignment="1">
      <alignment horizontal="center"/>
    </xf>
    <xf numFmtId="4" fontId="15" fillId="2" borderId="13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left" wrapText="1"/>
    </xf>
    <xf numFmtId="4" fontId="16" fillId="0" borderId="12" xfId="0" applyNumberFormat="1" applyFont="1" applyFill="1" applyBorder="1" applyAlignment="1">
      <alignment horizontal="center" vertical="top"/>
    </xf>
    <xf numFmtId="4" fontId="16" fillId="0" borderId="15" xfId="0" applyNumberFormat="1" applyFont="1" applyFill="1" applyBorder="1" applyAlignment="1">
      <alignment horizontal="left" vertical="top"/>
    </xf>
    <xf numFmtId="4" fontId="16" fillId="0" borderId="5" xfId="0" applyNumberFormat="1" applyFont="1" applyFill="1" applyBorder="1" applyAlignment="1">
      <alignment horizontal="center" vertical="center"/>
    </xf>
    <xf numFmtId="0" fontId="18" fillId="0" borderId="16" xfId="0" applyNumberFormat="1" applyFont="1" applyBorder="1" applyAlignment="1">
      <alignment horizontal="center" vertical="center" wrapText="1"/>
    </xf>
    <xf numFmtId="4" fontId="15" fillId="2" borderId="12" xfId="0" applyNumberFormat="1" applyFont="1" applyFill="1" applyBorder="1" applyAlignment="1">
      <alignment horizontal="center"/>
    </xf>
    <xf numFmtId="4" fontId="15" fillId="2" borderId="16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4" fontId="10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 vertical="top"/>
    </xf>
    <xf numFmtId="0" fontId="18" fillId="0" borderId="0" xfId="0" applyNumberFormat="1" applyFont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4" fontId="16" fillId="2" borderId="1" xfId="0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 vertical="top"/>
    </xf>
    <xf numFmtId="4" fontId="15" fillId="2" borderId="12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left" vertical="top"/>
    </xf>
    <xf numFmtId="4" fontId="16" fillId="2" borderId="18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/>
    <xf numFmtId="4" fontId="16" fillId="2" borderId="19" xfId="0" applyNumberFormat="1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 vertical="center"/>
    </xf>
    <xf numFmtId="4" fontId="16" fillId="2" borderId="15" xfId="0" applyNumberFormat="1" applyFont="1" applyFill="1" applyBorder="1" applyAlignment="1">
      <alignment vertical="center"/>
    </xf>
    <xf numFmtId="4" fontId="8" fillId="2" borderId="15" xfId="0" applyNumberFormat="1" applyFont="1" applyFill="1" applyBorder="1" applyAlignment="1">
      <alignment vertical="center"/>
    </xf>
    <xf numFmtId="49" fontId="19" fillId="2" borderId="15" xfId="0" applyNumberFormat="1" applyFont="1" applyFill="1" applyBorder="1" applyAlignment="1">
      <alignment horizontal="left" wrapText="1"/>
    </xf>
    <xf numFmtId="0" fontId="17" fillId="0" borderId="15" xfId="0" applyFont="1" applyBorder="1" applyAlignment="1">
      <alignment horizontal="center" wrapText="1"/>
    </xf>
    <xf numFmtId="4" fontId="8" fillId="2" borderId="6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left" vertical="top"/>
    </xf>
    <xf numFmtId="4" fontId="8" fillId="2" borderId="8" xfId="0" applyNumberFormat="1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left" vertical="top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8" fillId="2" borderId="9" xfId="0" applyNumberFormat="1" applyFont="1" applyFill="1" applyBorder="1" applyAlignment="1">
      <alignment horizontal="center" vertical="top"/>
    </xf>
    <xf numFmtId="4" fontId="8" fillId="2" borderId="10" xfId="0" applyNumberFormat="1" applyFont="1" applyFill="1" applyBorder="1" applyAlignment="1">
      <alignment horizontal="center" vertical="top"/>
    </xf>
    <xf numFmtId="4" fontId="8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8" fillId="2" borderId="13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16" fillId="2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16" fillId="2" borderId="14" xfId="0" applyNumberFormat="1" applyFont="1" applyFill="1" applyBorder="1" applyAlignment="1">
      <alignment horizontal="center" vertical="center" wrapText="1"/>
    </xf>
    <xf numFmtId="4" fontId="15" fillId="2" borderId="14" xfId="0" applyNumberFormat="1" applyFont="1" applyFill="1" applyBorder="1" applyAlignment="1">
      <alignment horizontal="center" vertical="center" wrapText="1"/>
    </xf>
    <xf numFmtId="4" fontId="15" fillId="2" borderId="20" xfId="0" applyNumberFormat="1" applyFont="1" applyFill="1" applyBorder="1" applyAlignment="1">
      <alignment horizontal="center" vertical="center" wrapText="1"/>
    </xf>
    <xf numFmtId="4" fontId="15" fillId="2" borderId="2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6"/>
  <sheetViews>
    <sheetView tabSelected="1" view="pageBreakPreview" topLeftCell="E1" zoomScale="90" zoomScaleNormal="100" zoomScaleSheetLayoutView="90" workbookViewId="0">
      <selection activeCell="H1" sqref="H1:T1"/>
    </sheetView>
  </sheetViews>
  <sheetFormatPr defaultRowHeight="12.75"/>
  <cols>
    <col min="1" max="1" width="9.140625" style="6" customWidth="1"/>
    <col min="2" max="5" width="9.140625" style="6"/>
    <col min="6" max="6" width="20.7109375" style="6" customWidth="1"/>
    <col min="7" max="7" width="17.28515625" style="26" customWidth="1"/>
    <col min="8" max="8" width="11.42578125" style="36" customWidth="1"/>
    <col min="9" max="9" width="10.140625" style="7" customWidth="1"/>
    <col min="10" max="10" width="9.140625" style="7" customWidth="1"/>
    <col min="11" max="11" width="10.140625" style="7" customWidth="1"/>
    <col min="12" max="12" width="10" style="8" customWidth="1"/>
    <col min="13" max="13" width="14.28515625" style="36" customWidth="1"/>
    <col min="14" max="17" width="9.28515625" style="8" customWidth="1"/>
    <col min="18" max="18" width="13.7109375" style="36" customWidth="1"/>
    <col min="19" max="20" width="8.28515625" style="8" customWidth="1"/>
    <col min="21" max="21" width="11.7109375" customWidth="1"/>
    <col min="22" max="22" width="14.5703125" style="26" customWidth="1"/>
    <col min="23" max="26" width="12.42578125" style="6" customWidth="1"/>
    <col min="27" max="27" width="13.28515625" customWidth="1"/>
    <col min="28" max="28" width="13.5703125" customWidth="1"/>
  </cols>
  <sheetData>
    <row r="1" spans="1:38" s="1" customFormat="1" ht="16.5" customHeight="1">
      <c r="A1" s="98" t="s">
        <v>25</v>
      </c>
      <c r="B1" s="98"/>
      <c r="C1" s="98"/>
      <c r="D1" s="98"/>
      <c r="E1" s="98"/>
      <c r="F1" s="98"/>
      <c r="G1" s="98"/>
      <c r="H1" s="105" t="s">
        <v>85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V1" s="26"/>
      <c r="W1" s="6"/>
      <c r="X1" s="6"/>
      <c r="Y1" s="6"/>
      <c r="Z1" s="6"/>
    </row>
    <row r="2" spans="1:38" s="1" customFormat="1" ht="16.5" customHeight="1">
      <c r="A2" s="98" t="s">
        <v>24</v>
      </c>
      <c r="B2" s="98"/>
      <c r="C2" s="98"/>
      <c r="D2" s="98"/>
      <c r="E2" s="98"/>
      <c r="F2" s="98"/>
      <c r="G2" s="98"/>
      <c r="H2" s="36"/>
      <c r="I2" s="20"/>
      <c r="J2" s="19"/>
      <c r="K2" s="19"/>
      <c r="L2" s="18"/>
      <c r="M2" s="3"/>
      <c r="N2" s="4"/>
      <c r="O2" s="4"/>
      <c r="P2" s="4"/>
      <c r="Q2" s="4"/>
      <c r="R2" s="36"/>
      <c r="S2" s="8"/>
      <c r="T2" s="8"/>
      <c r="V2" s="26"/>
      <c r="W2" s="6"/>
      <c r="X2" s="6"/>
      <c r="Y2" s="6"/>
      <c r="Z2" s="6"/>
    </row>
    <row r="3" spans="1:38" s="1" customFormat="1" ht="16.5" customHeight="1">
      <c r="A3" s="98" t="s">
        <v>23</v>
      </c>
      <c r="B3" s="98"/>
      <c r="C3" s="98"/>
      <c r="D3" s="98"/>
      <c r="E3" s="98"/>
      <c r="F3" s="98"/>
      <c r="G3" s="98"/>
      <c r="H3" s="36"/>
      <c r="I3" s="20"/>
      <c r="J3" s="19"/>
      <c r="K3" s="19"/>
      <c r="L3" s="17"/>
      <c r="M3" s="3"/>
      <c r="N3" s="4"/>
      <c r="O3" s="4"/>
      <c r="P3" s="4"/>
      <c r="Q3" s="4"/>
      <c r="R3" s="36"/>
      <c r="S3" s="8"/>
      <c r="T3" s="8"/>
      <c r="V3" s="26"/>
      <c r="W3" s="6"/>
      <c r="X3" s="6"/>
      <c r="Y3" s="6"/>
      <c r="Z3" s="6"/>
    </row>
    <row r="4" spans="1:38" s="1" customFormat="1" ht="16.5" customHeight="1">
      <c r="A4" s="98" t="s">
        <v>22</v>
      </c>
      <c r="B4" s="98"/>
      <c r="C4" s="98"/>
      <c r="D4" s="98"/>
      <c r="E4" s="98"/>
      <c r="F4" s="98"/>
      <c r="G4" s="98"/>
      <c r="H4" s="36"/>
      <c r="I4" s="7"/>
      <c r="J4" s="7"/>
      <c r="K4" s="7"/>
      <c r="L4" s="8"/>
      <c r="M4" s="36"/>
      <c r="N4" s="8"/>
      <c r="O4" s="8"/>
      <c r="P4" s="8"/>
      <c r="Q4" s="8"/>
      <c r="R4" s="36"/>
      <c r="S4" s="8"/>
      <c r="T4" s="8"/>
      <c r="V4" s="26"/>
      <c r="W4" s="6"/>
      <c r="X4" s="6"/>
      <c r="Y4" s="6"/>
      <c r="Z4" s="6"/>
    </row>
    <row r="5" spans="1:38" s="1" customFormat="1">
      <c r="A5" s="5" t="s">
        <v>53</v>
      </c>
      <c r="B5" s="5" t="s">
        <v>54</v>
      </c>
      <c r="C5" s="6"/>
      <c r="D5" s="6"/>
      <c r="E5" s="6"/>
      <c r="F5" s="6"/>
      <c r="G5" s="26"/>
      <c r="H5" s="36"/>
      <c r="I5" s="7"/>
      <c r="J5" s="7"/>
      <c r="K5" s="7"/>
      <c r="L5" s="8"/>
      <c r="M5" s="36"/>
      <c r="N5" s="8"/>
      <c r="O5" s="8"/>
      <c r="P5" s="8"/>
      <c r="Q5" s="8"/>
      <c r="R5" s="36"/>
      <c r="S5" s="8"/>
      <c r="T5" s="8"/>
      <c r="V5" s="26"/>
      <c r="W5" s="6"/>
      <c r="X5" s="6"/>
      <c r="Y5" s="6"/>
      <c r="Z5" s="6"/>
    </row>
    <row r="6" spans="1:38" s="1" customFormat="1" ht="15.75" customHeight="1">
      <c r="A6" s="100" t="s">
        <v>21</v>
      </c>
      <c r="B6" s="100"/>
      <c r="C6" s="100"/>
      <c r="D6" s="100"/>
      <c r="E6" s="100"/>
      <c r="F6" s="100"/>
      <c r="G6" s="100" t="s">
        <v>20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69"/>
      <c r="S6" s="99"/>
      <c r="T6" s="99"/>
      <c r="U6" s="71"/>
      <c r="V6" s="72"/>
      <c r="W6" s="73"/>
      <c r="X6" s="73"/>
      <c r="Y6" s="73"/>
      <c r="Z6" s="73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s="9" customFormat="1" ht="56.25" customHeight="1">
      <c r="A7" s="100"/>
      <c r="B7" s="100"/>
      <c r="C7" s="100"/>
      <c r="D7" s="100"/>
      <c r="E7" s="100"/>
      <c r="F7" s="100"/>
      <c r="G7" s="101" t="s">
        <v>19</v>
      </c>
      <c r="H7" s="102" t="s">
        <v>46</v>
      </c>
      <c r="I7" s="23" t="s">
        <v>57</v>
      </c>
      <c r="J7" s="23" t="s">
        <v>57</v>
      </c>
      <c r="K7" s="23" t="s">
        <v>55</v>
      </c>
      <c r="L7" s="23" t="s">
        <v>56</v>
      </c>
      <c r="M7" s="97" t="s">
        <v>61</v>
      </c>
      <c r="N7" s="23" t="s">
        <v>55</v>
      </c>
      <c r="O7" s="23" t="s">
        <v>55</v>
      </c>
      <c r="P7" s="23" t="s">
        <v>55</v>
      </c>
      <c r="Q7" s="23" t="s">
        <v>55</v>
      </c>
      <c r="R7" s="103" t="s">
        <v>65</v>
      </c>
      <c r="S7" s="46" t="s">
        <v>57</v>
      </c>
      <c r="T7" s="46" t="s">
        <v>57</v>
      </c>
      <c r="U7" s="46" t="s">
        <v>56</v>
      </c>
      <c r="V7" s="97" t="s">
        <v>75</v>
      </c>
      <c r="W7" s="74" t="s">
        <v>76</v>
      </c>
      <c r="X7" s="46" t="s">
        <v>56</v>
      </c>
      <c r="Y7" s="46" t="s">
        <v>56</v>
      </c>
      <c r="Z7" s="46" t="s">
        <v>57</v>
      </c>
      <c r="AA7" s="53"/>
    </row>
    <row r="8" spans="1:38" s="9" customFormat="1">
      <c r="A8" s="100"/>
      <c r="B8" s="100"/>
      <c r="C8" s="100"/>
      <c r="D8" s="100"/>
      <c r="E8" s="100"/>
      <c r="F8" s="100"/>
      <c r="G8" s="101"/>
      <c r="H8" s="102"/>
      <c r="I8" s="23" t="s">
        <v>58</v>
      </c>
      <c r="J8" s="23" t="s">
        <v>52</v>
      </c>
      <c r="K8" s="23" t="s">
        <v>59</v>
      </c>
      <c r="L8" s="23" t="s">
        <v>60</v>
      </c>
      <c r="M8" s="97"/>
      <c r="N8" s="23" t="s">
        <v>58</v>
      </c>
      <c r="O8" s="23" t="s">
        <v>62</v>
      </c>
      <c r="P8" s="23" t="s">
        <v>63</v>
      </c>
      <c r="Q8" s="23" t="s">
        <v>64</v>
      </c>
      <c r="R8" s="104"/>
      <c r="S8" s="75" t="s">
        <v>66</v>
      </c>
      <c r="T8" s="75">
        <v>14</v>
      </c>
      <c r="U8" s="75" t="s">
        <v>84</v>
      </c>
      <c r="V8" s="97"/>
      <c r="W8" s="74" t="s">
        <v>77</v>
      </c>
      <c r="X8" s="74" t="s">
        <v>78</v>
      </c>
      <c r="Y8" s="74" t="s">
        <v>79</v>
      </c>
      <c r="Z8" s="74" t="s">
        <v>64</v>
      </c>
      <c r="AA8" s="54"/>
    </row>
    <row r="9" spans="1:38" s="1" customFormat="1">
      <c r="A9" s="84" t="s">
        <v>18</v>
      </c>
      <c r="B9" s="85"/>
      <c r="C9" s="85"/>
      <c r="D9" s="85"/>
      <c r="E9" s="85"/>
      <c r="F9" s="86"/>
      <c r="G9" s="27"/>
      <c r="H9" s="43">
        <f t="shared" ref="H9" si="0">SUM(H10:H13)</f>
        <v>0</v>
      </c>
      <c r="I9" s="13">
        <f t="shared" ref="I9" si="1">SUM(I10:I13)</f>
        <v>0</v>
      </c>
      <c r="J9" s="13">
        <f t="shared" ref="J9:L9" si="2">SUM(J10:J13)</f>
        <v>0</v>
      </c>
      <c r="K9" s="13">
        <f t="shared" si="2"/>
        <v>0</v>
      </c>
      <c r="L9" s="13">
        <f t="shared" si="2"/>
        <v>0</v>
      </c>
      <c r="M9" s="45">
        <f t="shared" ref="M9" si="3">SUM(M10:M13)</f>
        <v>0</v>
      </c>
      <c r="N9" s="13">
        <v>0</v>
      </c>
      <c r="O9" s="13">
        <v>0</v>
      </c>
      <c r="P9" s="13">
        <v>0</v>
      </c>
      <c r="Q9" s="13">
        <v>0</v>
      </c>
      <c r="R9" s="43">
        <v>0</v>
      </c>
      <c r="S9" s="13">
        <v>0</v>
      </c>
      <c r="T9" s="13">
        <v>0</v>
      </c>
      <c r="U9" s="13">
        <v>0</v>
      </c>
      <c r="V9" s="70">
        <v>0</v>
      </c>
      <c r="W9" s="13">
        <v>0</v>
      </c>
      <c r="X9" s="13">
        <v>0</v>
      </c>
      <c r="Y9" s="13">
        <v>0</v>
      </c>
      <c r="Z9" s="13">
        <v>0</v>
      </c>
      <c r="AA9" s="55"/>
    </row>
    <row r="10" spans="1:38" s="1" customFormat="1">
      <c r="A10" s="79" t="s">
        <v>26</v>
      </c>
      <c r="B10" s="79"/>
      <c r="C10" s="79"/>
      <c r="D10" s="79"/>
      <c r="E10" s="79"/>
      <c r="F10" s="79"/>
      <c r="G10" s="28" t="s">
        <v>11</v>
      </c>
      <c r="H10" s="28">
        <v>0</v>
      </c>
      <c r="I10" s="11">
        <v>0</v>
      </c>
      <c r="J10" s="11">
        <v>0</v>
      </c>
      <c r="K10" s="11">
        <v>0</v>
      </c>
      <c r="L10" s="11">
        <v>0</v>
      </c>
      <c r="M10" s="39">
        <v>0</v>
      </c>
      <c r="N10" s="11">
        <v>0</v>
      </c>
      <c r="O10" s="11">
        <v>0</v>
      </c>
      <c r="P10" s="11">
        <v>0</v>
      </c>
      <c r="Q10" s="11">
        <v>0</v>
      </c>
      <c r="R10" s="28">
        <v>0</v>
      </c>
      <c r="S10" s="11">
        <v>0</v>
      </c>
      <c r="T10" s="11">
        <v>0</v>
      </c>
      <c r="U10" s="11">
        <v>0</v>
      </c>
      <c r="V10" s="62">
        <v>0</v>
      </c>
      <c r="W10" s="11">
        <v>0</v>
      </c>
      <c r="X10" s="11">
        <v>0</v>
      </c>
      <c r="Y10" s="11">
        <v>0</v>
      </c>
      <c r="Z10" s="11">
        <v>0</v>
      </c>
      <c r="AA10" s="56"/>
    </row>
    <row r="11" spans="1:38" s="1" customFormat="1">
      <c r="A11" s="79" t="s">
        <v>27</v>
      </c>
      <c r="B11" s="79"/>
      <c r="C11" s="79"/>
      <c r="D11" s="79"/>
      <c r="E11" s="79"/>
      <c r="F11" s="79"/>
      <c r="G11" s="28" t="s">
        <v>11</v>
      </c>
      <c r="H11" s="28">
        <v>0</v>
      </c>
      <c r="I11" s="11">
        <v>0</v>
      </c>
      <c r="J11" s="11">
        <v>0</v>
      </c>
      <c r="K11" s="11">
        <v>0</v>
      </c>
      <c r="L11" s="11">
        <v>0</v>
      </c>
      <c r="M11" s="39">
        <v>0</v>
      </c>
      <c r="N11" s="11">
        <v>0</v>
      </c>
      <c r="O11" s="11">
        <v>0</v>
      </c>
      <c r="P11" s="11">
        <v>0</v>
      </c>
      <c r="Q11" s="11">
        <v>0</v>
      </c>
      <c r="R11" s="28">
        <v>0</v>
      </c>
      <c r="S11" s="11">
        <v>0</v>
      </c>
      <c r="T11" s="11">
        <v>0</v>
      </c>
      <c r="U11" s="11">
        <v>0</v>
      </c>
      <c r="V11" s="62">
        <v>0</v>
      </c>
      <c r="W11" s="11">
        <v>0</v>
      </c>
      <c r="X11" s="11">
        <v>0</v>
      </c>
      <c r="Y11" s="11">
        <v>0</v>
      </c>
      <c r="Z11" s="11">
        <v>0</v>
      </c>
      <c r="AA11" s="56"/>
    </row>
    <row r="12" spans="1:38" s="1" customFormat="1">
      <c r="A12" s="79" t="s">
        <v>17</v>
      </c>
      <c r="B12" s="79"/>
      <c r="C12" s="79"/>
      <c r="D12" s="79"/>
      <c r="E12" s="79"/>
      <c r="F12" s="79"/>
      <c r="G12" s="28" t="s">
        <v>11</v>
      </c>
      <c r="H12" s="28">
        <v>0</v>
      </c>
      <c r="I12" s="11">
        <v>0</v>
      </c>
      <c r="J12" s="11">
        <v>0</v>
      </c>
      <c r="K12" s="11">
        <v>0</v>
      </c>
      <c r="L12" s="11">
        <v>0</v>
      </c>
      <c r="M12" s="39">
        <v>0</v>
      </c>
      <c r="N12" s="11">
        <v>0</v>
      </c>
      <c r="O12" s="11">
        <v>0</v>
      </c>
      <c r="P12" s="11">
        <v>0</v>
      </c>
      <c r="Q12" s="11">
        <v>0</v>
      </c>
      <c r="R12" s="28">
        <v>0</v>
      </c>
      <c r="S12" s="11">
        <v>0</v>
      </c>
      <c r="T12" s="11">
        <v>0</v>
      </c>
      <c r="U12" s="11">
        <v>0</v>
      </c>
      <c r="V12" s="62">
        <v>0</v>
      </c>
      <c r="W12" s="11">
        <v>0</v>
      </c>
      <c r="X12" s="11">
        <v>0</v>
      </c>
      <c r="Y12" s="11">
        <v>0</v>
      </c>
      <c r="Z12" s="11">
        <v>0</v>
      </c>
      <c r="AA12" s="56"/>
    </row>
    <row r="13" spans="1:38" s="1" customFormat="1">
      <c r="A13" s="79" t="s">
        <v>16</v>
      </c>
      <c r="B13" s="79"/>
      <c r="C13" s="79"/>
      <c r="D13" s="79"/>
      <c r="E13" s="79"/>
      <c r="F13" s="79"/>
      <c r="G13" s="28" t="s">
        <v>15</v>
      </c>
      <c r="H13" s="28">
        <v>0</v>
      </c>
      <c r="I13" s="11">
        <v>0</v>
      </c>
      <c r="J13" s="11">
        <v>0</v>
      </c>
      <c r="K13" s="11">
        <v>0</v>
      </c>
      <c r="L13" s="11">
        <v>0</v>
      </c>
      <c r="M13" s="39">
        <v>0</v>
      </c>
      <c r="N13" s="11">
        <v>0</v>
      </c>
      <c r="O13" s="11">
        <v>0</v>
      </c>
      <c r="P13" s="11">
        <v>0</v>
      </c>
      <c r="Q13" s="11">
        <v>0</v>
      </c>
      <c r="R13" s="28">
        <v>0</v>
      </c>
      <c r="S13" s="11">
        <v>0</v>
      </c>
      <c r="T13" s="11">
        <v>0</v>
      </c>
      <c r="U13" s="11">
        <v>0</v>
      </c>
      <c r="V13" s="62">
        <v>0</v>
      </c>
      <c r="W13" s="11">
        <v>0</v>
      </c>
      <c r="X13" s="11">
        <v>0</v>
      </c>
      <c r="Y13" s="11">
        <v>0</v>
      </c>
      <c r="Z13" s="11">
        <v>0</v>
      </c>
      <c r="AA13" s="56"/>
    </row>
    <row r="14" spans="1:38" s="1" customFormat="1" ht="23.85" customHeight="1">
      <c r="A14" s="80" t="s">
        <v>14</v>
      </c>
      <c r="B14" s="81"/>
      <c r="C14" s="81"/>
      <c r="D14" s="81"/>
      <c r="E14" s="81"/>
      <c r="F14" s="82"/>
      <c r="G14" s="29"/>
      <c r="H14" s="28">
        <f t="shared" ref="H14" si="4">SUM(H15:H21)</f>
        <v>4.6500000000000004</v>
      </c>
      <c r="I14" s="10">
        <f t="shared" ref="I14:K14" si="5">SUM(I15:I21)</f>
        <v>32079.42</v>
      </c>
      <c r="J14" s="10">
        <f t="shared" si="5"/>
        <v>32966.639999999999</v>
      </c>
      <c r="K14" s="10">
        <f t="shared" si="5"/>
        <v>37413.9</v>
      </c>
      <c r="L14" s="10">
        <f t="shared" ref="L14" si="6">SUM(L15:L21)</f>
        <v>34149.600000000006</v>
      </c>
      <c r="M14" s="39">
        <f t="shared" ref="M14:Q14" si="7">SUM(M15:M21)</f>
        <v>10.45</v>
      </c>
      <c r="N14" s="10">
        <f t="shared" si="7"/>
        <v>64468.140000000007</v>
      </c>
      <c r="O14" s="10">
        <f t="shared" si="7"/>
        <v>66825.659999999989</v>
      </c>
      <c r="P14" s="10">
        <f t="shared" si="7"/>
        <v>65697.06</v>
      </c>
      <c r="Q14" s="10">
        <f t="shared" si="7"/>
        <v>64367.819999999992</v>
      </c>
      <c r="R14" s="28">
        <v>11.129999999999999</v>
      </c>
      <c r="S14" s="10">
        <f t="shared" ref="S14:U14" si="8">SUM(S15:S21)</f>
        <v>65244.060000000005</v>
      </c>
      <c r="T14" s="10">
        <f t="shared" si="8"/>
        <v>58138.668000000005</v>
      </c>
      <c r="U14" s="10">
        <f t="shared" si="8"/>
        <v>40308.408000000003</v>
      </c>
      <c r="V14" s="28">
        <f t="shared" ref="V14:Z14" si="9">SUM(V15:V21)</f>
        <v>12.7</v>
      </c>
      <c r="W14" s="10">
        <f t="shared" si="9"/>
        <v>51480.72</v>
      </c>
      <c r="X14" s="10">
        <f t="shared" si="9"/>
        <v>85435.44</v>
      </c>
      <c r="Y14" s="10">
        <f t="shared" si="9"/>
        <v>83332.319999999992</v>
      </c>
      <c r="Z14" s="10">
        <f t="shared" si="9"/>
        <v>48859.44</v>
      </c>
      <c r="AA14" s="55"/>
    </row>
    <row r="15" spans="1:38" s="1" customFormat="1">
      <c r="A15" s="79" t="s">
        <v>40</v>
      </c>
      <c r="B15" s="79"/>
      <c r="C15" s="79"/>
      <c r="D15" s="79"/>
      <c r="E15" s="79"/>
      <c r="F15" s="79"/>
      <c r="G15" s="28" t="s">
        <v>41</v>
      </c>
      <c r="H15" s="28">
        <v>1.08</v>
      </c>
      <c r="I15" s="11">
        <f>1.08*12*I35</f>
        <v>7450.7040000000006</v>
      </c>
      <c r="J15" s="11">
        <f t="shared" ref="J15:K15" si="10">1.08*12*J35</f>
        <v>7656.768</v>
      </c>
      <c r="K15" s="11">
        <f t="shared" si="10"/>
        <v>8689.68</v>
      </c>
      <c r="L15" s="11">
        <f t="shared" ref="L15" si="11">1.08*12*L35</f>
        <v>7931.52</v>
      </c>
      <c r="M15" s="39">
        <v>0.96</v>
      </c>
      <c r="N15" s="11">
        <f>0.96*12*N35</f>
        <v>5922.4319999999998</v>
      </c>
      <c r="O15" s="11">
        <f t="shared" ref="O15:Q15" si="12">0.96*12*O35</f>
        <v>6139.0079999999998</v>
      </c>
      <c r="P15" s="11">
        <f t="shared" si="12"/>
        <v>6035.3279999999995</v>
      </c>
      <c r="Q15" s="11">
        <f t="shared" si="12"/>
        <v>5913.2159999999994</v>
      </c>
      <c r="R15" s="28">
        <v>0.95</v>
      </c>
      <c r="S15" s="11">
        <f t="shared" ref="S15:U15" si="13">0.95*12*S35</f>
        <v>5568.9</v>
      </c>
      <c r="T15" s="11">
        <f t="shared" si="13"/>
        <v>4962.4199999999992</v>
      </c>
      <c r="U15" s="11">
        <f t="shared" si="13"/>
        <v>3440.5199999999995</v>
      </c>
      <c r="V15" s="62">
        <v>0.59</v>
      </c>
      <c r="W15" s="11">
        <f>0.59*12*W35</f>
        <v>2391.6240000000003</v>
      </c>
      <c r="X15" s="11">
        <f t="shared" ref="X15:Z15" si="14">0.59*12*X35</f>
        <v>3969.0480000000002</v>
      </c>
      <c r="Y15" s="11">
        <f t="shared" si="14"/>
        <v>3871.3439999999996</v>
      </c>
      <c r="Z15" s="11">
        <f t="shared" si="14"/>
        <v>2269.848</v>
      </c>
      <c r="AA15" s="56"/>
    </row>
    <row r="16" spans="1:38" s="1" customFormat="1">
      <c r="A16" s="79" t="s">
        <v>31</v>
      </c>
      <c r="B16" s="79"/>
      <c r="C16" s="79"/>
      <c r="D16" s="79"/>
      <c r="E16" s="79"/>
      <c r="F16" s="79"/>
      <c r="G16" s="28" t="s">
        <v>13</v>
      </c>
      <c r="H16" s="28">
        <v>0.41</v>
      </c>
      <c r="I16" s="11">
        <f>0.41*12*I35</f>
        <v>2828.5079999999998</v>
      </c>
      <c r="J16" s="11">
        <f t="shared" ref="J16:K16" si="15">0.41*12*J35</f>
        <v>2906.7359999999999</v>
      </c>
      <c r="K16" s="11">
        <f t="shared" si="15"/>
        <v>3298.86</v>
      </c>
      <c r="L16" s="11">
        <f t="shared" ref="L16" si="16">0.41*12*L35</f>
        <v>3011.04</v>
      </c>
      <c r="M16" s="39">
        <v>0.47</v>
      </c>
      <c r="N16" s="11">
        <f>0.47*12*N35</f>
        <v>2899.5239999999999</v>
      </c>
      <c r="O16" s="11">
        <f t="shared" ref="O16:Q16" si="17">0.47*12*O35</f>
        <v>3005.5559999999996</v>
      </c>
      <c r="P16" s="11">
        <f t="shared" si="17"/>
        <v>2954.7959999999998</v>
      </c>
      <c r="Q16" s="11">
        <f t="shared" si="17"/>
        <v>2895.0119999999997</v>
      </c>
      <c r="R16" s="28">
        <v>0.89</v>
      </c>
      <c r="S16" s="11">
        <f t="shared" ref="S16:U16" si="18">0.89*12*S35</f>
        <v>5217.18</v>
      </c>
      <c r="T16" s="11">
        <f t="shared" si="18"/>
        <v>4649.0039999999999</v>
      </c>
      <c r="U16" s="11">
        <f t="shared" si="18"/>
        <v>3223.2240000000002</v>
      </c>
      <c r="V16" s="62">
        <v>0.89</v>
      </c>
      <c r="W16" s="11">
        <f>0.89*12*W35</f>
        <v>3607.7040000000002</v>
      </c>
      <c r="X16" s="11">
        <f t="shared" ref="X16:Z16" si="19">0.89*12*X35</f>
        <v>5987.2080000000005</v>
      </c>
      <c r="Y16" s="11">
        <f t="shared" si="19"/>
        <v>5839.8239999999996</v>
      </c>
      <c r="Z16" s="11">
        <f t="shared" si="19"/>
        <v>3424.0080000000003</v>
      </c>
      <c r="AA16" s="56"/>
    </row>
    <row r="17" spans="1:27" s="1" customFormat="1">
      <c r="A17" s="79" t="s">
        <v>32</v>
      </c>
      <c r="B17" s="79"/>
      <c r="C17" s="79"/>
      <c r="D17" s="79"/>
      <c r="E17" s="79"/>
      <c r="F17" s="79"/>
      <c r="G17" s="28" t="s">
        <v>42</v>
      </c>
      <c r="H17" s="28">
        <v>0.32</v>
      </c>
      <c r="I17" s="11">
        <f>0.32*12*I35</f>
        <v>2207.616</v>
      </c>
      <c r="J17" s="11">
        <f t="shared" ref="J17:K17" si="20">0.32*12*J35</f>
        <v>2268.6719999999996</v>
      </c>
      <c r="K17" s="11">
        <f t="shared" si="20"/>
        <v>2574.7199999999998</v>
      </c>
      <c r="L17" s="11">
        <f t="shared" ref="L17" si="21">0.32*12*L35</f>
        <v>2350.08</v>
      </c>
      <c r="M17" s="39">
        <v>0.23</v>
      </c>
      <c r="N17" s="11">
        <f>0.23*12*N35</f>
        <v>1418.9160000000002</v>
      </c>
      <c r="O17" s="11">
        <f t="shared" ref="O17:Q17" si="22">0.23*12*O35</f>
        <v>1470.8040000000001</v>
      </c>
      <c r="P17" s="11">
        <f t="shared" si="22"/>
        <v>1445.9640000000002</v>
      </c>
      <c r="Q17" s="11">
        <f t="shared" si="22"/>
        <v>1416.7080000000001</v>
      </c>
      <c r="R17" s="28">
        <v>0.38</v>
      </c>
      <c r="S17" s="11">
        <f t="shared" ref="S17:U17" si="23">0.38*12*S35</f>
        <v>2227.5600000000004</v>
      </c>
      <c r="T17" s="11">
        <f t="shared" si="23"/>
        <v>1984.9680000000003</v>
      </c>
      <c r="U17" s="11">
        <f t="shared" si="23"/>
        <v>1376.2080000000003</v>
      </c>
      <c r="V17" s="62">
        <v>0.23</v>
      </c>
      <c r="W17" s="11">
        <f>0.23*12*W35</f>
        <v>932.32800000000009</v>
      </c>
      <c r="X17" s="11">
        <f t="shared" ref="X17:Z17" si="24">0.23*12*X35</f>
        <v>1547.2560000000001</v>
      </c>
      <c r="Y17" s="11">
        <f t="shared" si="24"/>
        <v>1509.1679999999999</v>
      </c>
      <c r="Z17" s="11">
        <f t="shared" si="24"/>
        <v>884.85600000000011</v>
      </c>
      <c r="AA17" s="56"/>
    </row>
    <row r="18" spans="1:27" s="1" customFormat="1" ht="57.75" customHeight="1">
      <c r="A18" s="94" t="s">
        <v>33</v>
      </c>
      <c r="B18" s="95"/>
      <c r="C18" s="95"/>
      <c r="D18" s="95"/>
      <c r="E18" s="95"/>
      <c r="F18" s="96"/>
      <c r="G18" s="30" t="s">
        <v>12</v>
      </c>
      <c r="H18" s="28">
        <v>0.17</v>
      </c>
      <c r="I18" s="11">
        <f>0.17*12*I35</f>
        <v>1172.796</v>
      </c>
      <c r="J18" s="11">
        <f t="shared" ref="J18:K18" si="25">0.17*12*J35</f>
        <v>1205.232</v>
      </c>
      <c r="K18" s="11">
        <f t="shared" si="25"/>
        <v>1367.82</v>
      </c>
      <c r="L18" s="11">
        <f t="shared" ref="L18" si="26">0.17*12*L35</f>
        <v>1248.48</v>
      </c>
      <c r="M18" s="39">
        <v>0.15</v>
      </c>
      <c r="N18" s="11">
        <f>0.15*12*N35</f>
        <v>925.38</v>
      </c>
      <c r="O18" s="11">
        <f t="shared" ref="O18:Q18" si="27">0.15*12*O35</f>
        <v>959.21999999999991</v>
      </c>
      <c r="P18" s="11">
        <f t="shared" si="27"/>
        <v>943.01999999999987</v>
      </c>
      <c r="Q18" s="11">
        <f t="shared" si="27"/>
        <v>923.93999999999983</v>
      </c>
      <c r="R18" s="28">
        <v>0.27</v>
      </c>
      <c r="S18" s="11">
        <f t="shared" ref="S18:U18" si="28">0.27*12*S35</f>
        <v>1582.74</v>
      </c>
      <c r="T18" s="11">
        <f t="shared" si="28"/>
        <v>1410.3720000000001</v>
      </c>
      <c r="U18" s="11">
        <f t="shared" si="28"/>
        <v>977.83200000000011</v>
      </c>
      <c r="V18" s="62">
        <v>0.12</v>
      </c>
      <c r="W18" s="11">
        <f>0.12*12*W35</f>
        <v>486.43200000000002</v>
      </c>
      <c r="X18" s="11">
        <f t="shared" ref="X18:Z18" si="29">0.12*12*X35</f>
        <v>807.26400000000001</v>
      </c>
      <c r="Y18" s="11">
        <f t="shared" si="29"/>
        <v>787.39199999999994</v>
      </c>
      <c r="Z18" s="11">
        <f t="shared" si="29"/>
        <v>461.66399999999999</v>
      </c>
      <c r="AA18" s="56"/>
    </row>
    <row r="19" spans="1:27" s="1" customFormat="1" ht="23.25" customHeight="1">
      <c r="A19" s="83" t="s">
        <v>34</v>
      </c>
      <c r="B19" s="79"/>
      <c r="C19" s="79"/>
      <c r="D19" s="79"/>
      <c r="E19" s="79"/>
      <c r="F19" s="79"/>
      <c r="G19" s="28" t="s">
        <v>43</v>
      </c>
      <c r="H19" s="28">
        <v>0.05</v>
      </c>
      <c r="I19" s="11">
        <f>0.05*12*I35</f>
        <v>344.94000000000005</v>
      </c>
      <c r="J19" s="11">
        <f t="shared" ref="J19:K19" si="30">0.05*12*J35</f>
        <v>354.48</v>
      </c>
      <c r="K19" s="11">
        <f t="shared" si="30"/>
        <v>402.30000000000007</v>
      </c>
      <c r="L19" s="11">
        <f t="shared" ref="L19" si="31">0.05*12*L35</f>
        <v>367.20000000000005</v>
      </c>
      <c r="M19" s="39">
        <v>0.05</v>
      </c>
      <c r="N19" s="11">
        <f t="shared" ref="N19:Q19" si="32">0.05*12*N35</f>
        <v>308.46000000000004</v>
      </c>
      <c r="O19" s="11">
        <f t="shared" si="32"/>
        <v>319.74</v>
      </c>
      <c r="P19" s="11">
        <f t="shared" si="32"/>
        <v>314.34000000000003</v>
      </c>
      <c r="Q19" s="11">
        <f t="shared" si="32"/>
        <v>307.98</v>
      </c>
      <c r="R19" s="28">
        <v>0.05</v>
      </c>
      <c r="S19" s="11">
        <f t="shared" ref="S19:U19" si="33">0.05*12*S35</f>
        <v>293.10000000000002</v>
      </c>
      <c r="T19" s="11">
        <f t="shared" si="33"/>
        <v>261.18000000000006</v>
      </c>
      <c r="U19" s="11">
        <f t="shared" si="33"/>
        <v>181.08000000000004</v>
      </c>
      <c r="V19" s="62">
        <v>0.05</v>
      </c>
      <c r="W19" s="11">
        <f t="shared" ref="W19:Z19" si="34">0.05*12*W35</f>
        <v>202.68000000000004</v>
      </c>
      <c r="X19" s="11">
        <f t="shared" si="34"/>
        <v>336.36000000000007</v>
      </c>
      <c r="Y19" s="11">
        <f t="shared" si="34"/>
        <v>328.08000000000004</v>
      </c>
      <c r="Z19" s="11">
        <f t="shared" si="34"/>
        <v>192.36000000000004</v>
      </c>
      <c r="AA19" s="56"/>
    </row>
    <row r="20" spans="1:27" s="1" customFormat="1" ht="32.25">
      <c r="A20" s="79" t="s">
        <v>35</v>
      </c>
      <c r="B20" s="79"/>
      <c r="C20" s="79"/>
      <c r="D20" s="79"/>
      <c r="E20" s="79"/>
      <c r="F20" s="79"/>
      <c r="G20" s="31" t="s">
        <v>48</v>
      </c>
      <c r="H20" s="28">
        <v>2.62</v>
      </c>
      <c r="I20" s="11">
        <f>2.62*12*I35</f>
        <v>18074.856</v>
      </c>
      <c r="J20" s="11">
        <f t="shared" ref="J20:K20" si="35">2.62*12*J35</f>
        <v>18574.752</v>
      </c>
      <c r="K20" s="11">
        <f t="shared" si="35"/>
        <v>21080.52</v>
      </c>
      <c r="L20" s="11">
        <f t="shared" ref="L20" si="36">2.62*12*L35</f>
        <v>19241.280000000002</v>
      </c>
      <c r="M20" s="39">
        <v>3.89</v>
      </c>
      <c r="N20" s="11">
        <f>3.89*12*N35</f>
        <v>23998.188000000002</v>
      </c>
      <c r="O20" s="11">
        <f t="shared" ref="O20:Q20" si="37">3.89*12*O35</f>
        <v>24875.771999999997</v>
      </c>
      <c r="P20" s="11">
        <f t="shared" si="37"/>
        <v>24455.651999999998</v>
      </c>
      <c r="Q20" s="11">
        <f t="shared" si="37"/>
        <v>23960.843999999997</v>
      </c>
      <c r="R20" s="28">
        <v>3.89</v>
      </c>
      <c r="S20" s="11">
        <f t="shared" ref="S20:U20" si="38">3.89*12*S35</f>
        <v>22803.18</v>
      </c>
      <c r="T20" s="11">
        <f t="shared" si="38"/>
        <v>20319.804</v>
      </c>
      <c r="U20" s="11">
        <f t="shared" si="38"/>
        <v>14088.024000000001</v>
      </c>
      <c r="V20" s="62">
        <v>6.12</v>
      </c>
      <c r="W20" s="11">
        <f>6.12*12*W35</f>
        <v>24808.031999999999</v>
      </c>
      <c r="X20" s="11">
        <f t="shared" ref="X20:Z20" si="39">6.12*12*X35</f>
        <v>41170.464</v>
      </c>
      <c r="Y20" s="11">
        <f t="shared" si="39"/>
        <v>40156.991999999998</v>
      </c>
      <c r="Z20" s="11">
        <f t="shared" si="39"/>
        <v>23544.864000000001</v>
      </c>
      <c r="AA20" s="56"/>
    </row>
    <row r="21" spans="1:27" s="1" customFormat="1">
      <c r="A21" s="79" t="s">
        <v>36</v>
      </c>
      <c r="B21" s="79"/>
      <c r="C21" s="79"/>
      <c r="D21" s="79"/>
      <c r="E21" s="79"/>
      <c r="F21" s="79"/>
      <c r="G21" s="28" t="s">
        <v>4</v>
      </c>
      <c r="H21" s="28">
        <v>0</v>
      </c>
      <c r="I21" s="11">
        <f>0*12*I35</f>
        <v>0</v>
      </c>
      <c r="J21" s="11">
        <f t="shared" ref="J21:K21" si="40">0*12*J35</f>
        <v>0</v>
      </c>
      <c r="K21" s="11">
        <f t="shared" si="40"/>
        <v>0</v>
      </c>
      <c r="L21" s="11">
        <f t="shared" ref="L21" si="41">0*12*L35</f>
        <v>0</v>
      </c>
      <c r="M21" s="39">
        <v>4.7</v>
      </c>
      <c r="N21" s="11">
        <f>4.7*12*N35</f>
        <v>28995.240000000005</v>
      </c>
      <c r="O21" s="11">
        <f t="shared" ref="O21:Q21" si="42">4.7*12*O35</f>
        <v>30055.56</v>
      </c>
      <c r="P21" s="11">
        <f t="shared" si="42"/>
        <v>29547.960000000003</v>
      </c>
      <c r="Q21" s="11">
        <f t="shared" si="42"/>
        <v>28950.12</v>
      </c>
      <c r="R21" s="28">
        <v>4.7</v>
      </c>
      <c r="S21" s="11">
        <f t="shared" ref="S21:U21" si="43">4.7*12*S35</f>
        <v>27551.4</v>
      </c>
      <c r="T21" s="11">
        <f t="shared" si="43"/>
        <v>24550.920000000002</v>
      </c>
      <c r="U21" s="11">
        <f t="shared" si="43"/>
        <v>17021.520000000004</v>
      </c>
      <c r="V21" s="62">
        <v>4.7</v>
      </c>
      <c r="W21" s="11">
        <f>4.7*12*W35</f>
        <v>19051.920000000002</v>
      </c>
      <c r="X21" s="11">
        <f t="shared" ref="X21:Z21" si="44">4.7*12*X35</f>
        <v>31617.840000000004</v>
      </c>
      <c r="Y21" s="11">
        <f t="shared" si="44"/>
        <v>30839.52</v>
      </c>
      <c r="Z21" s="11">
        <f t="shared" si="44"/>
        <v>18081.840000000004</v>
      </c>
      <c r="AA21" s="56"/>
    </row>
    <row r="22" spans="1:27" s="1" customFormat="1" ht="13.5" customHeight="1">
      <c r="A22" s="80" t="s">
        <v>10</v>
      </c>
      <c r="B22" s="81"/>
      <c r="C22" s="81"/>
      <c r="D22" s="81"/>
      <c r="E22" s="81"/>
      <c r="F22" s="82"/>
      <c r="G22" s="29"/>
      <c r="H22" s="29">
        <f t="shared" ref="H22" si="45">SUM(H23:H27)</f>
        <v>1.94</v>
      </c>
      <c r="I22" s="12">
        <f t="shared" ref="I22:K22" si="46">SUM(I23:I27)</f>
        <v>13383.672</v>
      </c>
      <c r="J22" s="12">
        <f t="shared" si="46"/>
        <v>13753.824000000001</v>
      </c>
      <c r="K22" s="12">
        <f t="shared" si="46"/>
        <v>15609.240000000002</v>
      </c>
      <c r="L22" s="12">
        <f t="shared" ref="L22:Q22" si="47">SUM(L23:L27)</f>
        <v>14247.36</v>
      </c>
      <c r="M22" s="40">
        <f t="shared" si="47"/>
        <v>1.9</v>
      </c>
      <c r="N22" s="12">
        <f t="shared" si="47"/>
        <v>11721.480000000001</v>
      </c>
      <c r="O22" s="12">
        <f t="shared" si="47"/>
        <v>12150.119999999999</v>
      </c>
      <c r="P22" s="12">
        <f t="shared" si="47"/>
        <v>11944.92</v>
      </c>
      <c r="Q22" s="12">
        <f t="shared" si="47"/>
        <v>11703.239999999998</v>
      </c>
      <c r="R22" s="29">
        <v>3.23</v>
      </c>
      <c r="S22" s="12">
        <f t="shared" ref="S22:U22" si="48">SUM(S23:S27)</f>
        <v>18934.259999999998</v>
      </c>
      <c r="T22" s="12">
        <f t="shared" si="48"/>
        <v>16872.227999999999</v>
      </c>
      <c r="U22" s="12">
        <f t="shared" si="48"/>
        <v>11697.768</v>
      </c>
      <c r="V22" s="63">
        <f>V23+V24+V25+V26+V27</f>
        <v>1.05</v>
      </c>
      <c r="W22" s="12">
        <f t="shared" ref="W22:Z22" si="49">SUM(W23:W27)</f>
        <v>4256.2800000000007</v>
      </c>
      <c r="X22" s="12">
        <f t="shared" si="49"/>
        <v>7063.5600000000013</v>
      </c>
      <c r="Y22" s="12">
        <f t="shared" si="49"/>
        <v>6889.6799999999994</v>
      </c>
      <c r="Z22" s="12">
        <f t="shared" si="49"/>
        <v>4039.5600000000004</v>
      </c>
      <c r="AA22" s="57"/>
    </row>
    <row r="23" spans="1:27" s="1" customFormat="1">
      <c r="A23" s="83" t="s">
        <v>38</v>
      </c>
      <c r="B23" s="79"/>
      <c r="C23" s="79"/>
      <c r="D23" s="79"/>
      <c r="E23" s="79"/>
      <c r="F23" s="79"/>
      <c r="G23" s="28" t="s">
        <v>4</v>
      </c>
      <c r="H23" s="28">
        <v>1.02</v>
      </c>
      <c r="I23" s="11">
        <f>1.02*12*I35</f>
        <v>7036.7759999999998</v>
      </c>
      <c r="J23" s="11">
        <f t="shared" ref="J23:K23" si="50">1.02*12*J35</f>
        <v>7231.3919999999998</v>
      </c>
      <c r="K23" s="11">
        <f t="shared" si="50"/>
        <v>8206.92</v>
      </c>
      <c r="L23" s="11">
        <f t="shared" ref="L23" si="51">1.02*12*L35</f>
        <v>7490.88</v>
      </c>
      <c r="M23" s="39">
        <v>1.02</v>
      </c>
      <c r="N23" s="11">
        <f>1.02*12*N35</f>
        <v>6292.5840000000007</v>
      </c>
      <c r="O23" s="11">
        <f t="shared" ref="O23:Q23" si="52">1.02*12*O35</f>
        <v>6522.6959999999999</v>
      </c>
      <c r="P23" s="11">
        <f t="shared" si="52"/>
        <v>6412.5360000000001</v>
      </c>
      <c r="Q23" s="11">
        <f t="shared" si="52"/>
        <v>6282.7919999999995</v>
      </c>
      <c r="R23" s="28">
        <v>1.02</v>
      </c>
      <c r="S23" s="11">
        <f t="shared" ref="S23:U23" si="53">1.02*12*S35</f>
        <v>5979.24</v>
      </c>
      <c r="T23" s="11">
        <f t="shared" si="53"/>
        <v>5328.0720000000001</v>
      </c>
      <c r="U23" s="11">
        <f t="shared" si="53"/>
        <v>3694.0320000000002</v>
      </c>
      <c r="V23" s="62">
        <v>0.51</v>
      </c>
      <c r="W23" s="11">
        <f>0.51*12*W35</f>
        <v>2067.3360000000002</v>
      </c>
      <c r="X23" s="11">
        <f t="shared" ref="X23:Z23" si="54">0.51*12*X35</f>
        <v>3430.8720000000003</v>
      </c>
      <c r="Y23" s="11">
        <f t="shared" si="54"/>
        <v>3346.4159999999997</v>
      </c>
      <c r="Z23" s="11">
        <f t="shared" si="54"/>
        <v>1962.0720000000001</v>
      </c>
      <c r="AA23" s="56"/>
    </row>
    <row r="24" spans="1:27" s="1" customFormat="1" ht="25.5" customHeight="1">
      <c r="A24" s="83" t="s">
        <v>28</v>
      </c>
      <c r="B24" s="79"/>
      <c r="C24" s="79"/>
      <c r="D24" s="79"/>
      <c r="E24" s="79"/>
      <c r="F24" s="79"/>
      <c r="G24" s="28" t="s">
        <v>3</v>
      </c>
      <c r="H24" s="28">
        <v>0</v>
      </c>
      <c r="I24" s="11">
        <f>0*1242*I35</f>
        <v>0</v>
      </c>
      <c r="J24" s="11">
        <f t="shared" ref="J24:K24" si="55">0*1242*J35</f>
        <v>0</v>
      </c>
      <c r="K24" s="11">
        <f t="shared" si="55"/>
        <v>0</v>
      </c>
      <c r="L24" s="11">
        <f t="shared" ref="L24" si="56">0*1242*L35</f>
        <v>0</v>
      </c>
      <c r="M24" s="39">
        <v>0</v>
      </c>
      <c r="N24" s="11">
        <f t="shared" ref="N24:Q24" si="57">0*12*N35</f>
        <v>0</v>
      </c>
      <c r="O24" s="11">
        <f t="shared" si="57"/>
        <v>0</v>
      </c>
      <c r="P24" s="11">
        <f t="shared" si="57"/>
        <v>0</v>
      </c>
      <c r="Q24" s="11">
        <f t="shared" si="57"/>
        <v>0</v>
      </c>
      <c r="R24" s="28">
        <v>0</v>
      </c>
      <c r="S24" s="11">
        <f t="shared" ref="S24:U24" si="58">0*12*S35</f>
        <v>0</v>
      </c>
      <c r="T24" s="11">
        <f t="shared" si="58"/>
        <v>0</v>
      </c>
      <c r="U24" s="11">
        <f t="shared" si="58"/>
        <v>0</v>
      </c>
      <c r="V24" s="62">
        <v>0</v>
      </c>
      <c r="W24" s="11">
        <f t="shared" ref="W24:Z24" si="59">0*12*W35</f>
        <v>0</v>
      </c>
      <c r="X24" s="11">
        <f t="shared" si="59"/>
        <v>0</v>
      </c>
      <c r="Y24" s="11">
        <f t="shared" si="59"/>
        <v>0</v>
      </c>
      <c r="Z24" s="11">
        <f t="shared" si="59"/>
        <v>0</v>
      </c>
      <c r="AA24" s="56"/>
    </row>
    <row r="25" spans="1:27" s="1" customFormat="1" ht="25.5" customHeight="1">
      <c r="A25" s="83" t="s">
        <v>29</v>
      </c>
      <c r="B25" s="83"/>
      <c r="C25" s="83"/>
      <c r="D25" s="83"/>
      <c r="E25" s="83"/>
      <c r="F25" s="83"/>
      <c r="G25" s="28" t="s">
        <v>8</v>
      </c>
      <c r="H25" s="28">
        <v>0</v>
      </c>
      <c r="I25" s="11">
        <f>0*12*I35</f>
        <v>0</v>
      </c>
      <c r="J25" s="11">
        <f t="shared" ref="J25:K25" si="60">0*12*J35</f>
        <v>0</v>
      </c>
      <c r="K25" s="11">
        <f t="shared" si="60"/>
        <v>0</v>
      </c>
      <c r="L25" s="11">
        <f t="shared" ref="L25" si="61">0*12*L35</f>
        <v>0</v>
      </c>
      <c r="M25" s="39">
        <v>0</v>
      </c>
      <c r="N25" s="11">
        <f t="shared" ref="N25:Q25" si="62">0*12*N35</f>
        <v>0</v>
      </c>
      <c r="O25" s="11">
        <f t="shared" si="62"/>
        <v>0</v>
      </c>
      <c r="P25" s="11">
        <f t="shared" si="62"/>
        <v>0</v>
      </c>
      <c r="Q25" s="11">
        <f t="shared" si="62"/>
        <v>0</v>
      </c>
      <c r="R25" s="28">
        <v>0</v>
      </c>
      <c r="S25" s="11">
        <f t="shared" ref="S25:U25" si="63">0*12*S35</f>
        <v>0</v>
      </c>
      <c r="T25" s="11">
        <f t="shared" si="63"/>
        <v>0</v>
      </c>
      <c r="U25" s="11">
        <f t="shared" si="63"/>
        <v>0</v>
      </c>
      <c r="V25" s="62">
        <v>0</v>
      </c>
      <c r="W25" s="11">
        <f t="shared" ref="W25:Z25" si="64">0*12*W35</f>
        <v>0</v>
      </c>
      <c r="X25" s="11">
        <f t="shared" si="64"/>
        <v>0</v>
      </c>
      <c r="Y25" s="11">
        <f t="shared" si="64"/>
        <v>0</v>
      </c>
      <c r="Z25" s="11">
        <f t="shared" si="64"/>
        <v>0</v>
      </c>
      <c r="AA25" s="56"/>
    </row>
    <row r="26" spans="1:27" s="1" customFormat="1" ht="57" customHeight="1">
      <c r="A26" s="83" t="s">
        <v>30</v>
      </c>
      <c r="B26" s="83"/>
      <c r="C26" s="83"/>
      <c r="D26" s="83"/>
      <c r="E26" s="83"/>
      <c r="F26" s="83"/>
      <c r="G26" s="30" t="s">
        <v>9</v>
      </c>
      <c r="H26" s="28">
        <f>0.03+0.01</f>
        <v>0.04</v>
      </c>
      <c r="I26" s="11">
        <f>0.04*12*I35</f>
        <v>275.952</v>
      </c>
      <c r="J26" s="11">
        <f t="shared" ref="J26:K26" si="65">0.04*12*J35</f>
        <v>283.58399999999995</v>
      </c>
      <c r="K26" s="11">
        <f t="shared" si="65"/>
        <v>321.83999999999997</v>
      </c>
      <c r="L26" s="11">
        <f t="shared" ref="L26" si="66">0.04*12*L35</f>
        <v>293.76</v>
      </c>
      <c r="M26" s="39">
        <v>0.04</v>
      </c>
      <c r="N26" s="11">
        <f t="shared" ref="N26:Q26" si="67">0.04*12*N35</f>
        <v>246.768</v>
      </c>
      <c r="O26" s="11">
        <f t="shared" si="67"/>
        <v>255.79199999999997</v>
      </c>
      <c r="P26" s="11">
        <f t="shared" si="67"/>
        <v>251.47199999999998</v>
      </c>
      <c r="Q26" s="11">
        <f t="shared" si="67"/>
        <v>246.38399999999996</v>
      </c>
      <c r="R26" s="28">
        <v>0.04</v>
      </c>
      <c r="S26" s="11">
        <f t="shared" ref="S26:U26" si="68">0.04*12*S35</f>
        <v>234.48</v>
      </c>
      <c r="T26" s="11">
        <f t="shared" si="68"/>
        <v>208.94399999999999</v>
      </c>
      <c r="U26" s="11">
        <f t="shared" si="68"/>
        <v>144.864</v>
      </c>
      <c r="V26" s="62">
        <v>0.04</v>
      </c>
      <c r="W26" s="11">
        <f t="shared" ref="W26:Z26" si="69">0.04*12*W35</f>
        <v>162.14400000000001</v>
      </c>
      <c r="X26" s="11">
        <f t="shared" si="69"/>
        <v>269.08800000000002</v>
      </c>
      <c r="Y26" s="11">
        <f t="shared" si="69"/>
        <v>262.46399999999994</v>
      </c>
      <c r="Z26" s="11">
        <f t="shared" si="69"/>
        <v>153.88800000000001</v>
      </c>
      <c r="AA26" s="56"/>
    </row>
    <row r="27" spans="1:27" s="1" customFormat="1" ht="85.5" customHeight="1">
      <c r="A27" s="83" t="s">
        <v>47</v>
      </c>
      <c r="B27" s="83"/>
      <c r="C27" s="83"/>
      <c r="D27" s="83"/>
      <c r="E27" s="83"/>
      <c r="F27" s="83"/>
      <c r="G27" s="28" t="s">
        <v>8</v>
      </c>
      <c r="H27" s="28">
        <f>0.32+0.18+0.38</f>
        <v>0.88</v>
      </c>
      <c r="I27" s="11">
        <f>0.88*12*I35</f>
        <v>6070.9440000000004</v>
      </c>
      <c r="J27" s="11">
        <f t="shared" ref="J27:K27" si="70">0.88*12*J35</f>
        <v>6238.848</v>
      </c>
      <c r="K27" s="11">
        <f t="shared" si="70"/>
        <v>7080.4800000000005</v>
      </c>
      <c r="L27" s="11">
        <f t="shared" ref="L27" si="71">0.88*12*L35</f>
        <v>6462.72</v>
      </c>
      <c r="M27" s="39">
        <f>0.31+0.16+0.37</f>
        <v>0.84</v>
      </c>
      <c r="N27" s="11">
        <f>0.84*12*N35</f>
        <v>5182.1280000000006</v>
      </c>
      <c r="O27" s="11">
        <f t="shared" ref="O27:Q27" si="72">0.84*12*O35</f>
        <v>5371.6319999999996</v>
      </c>
      <c r="P27" s="11">
        <f t="shared" si="72"/>
        <v>5280.9120000000003</v>
      </c>
      <c r="Q27" s="11">
        <f t="shared" si="72"/>
        <v>5174.0639999999994</v>
      </c>
      <c r="R27" s="28">
        <v>2.17</v>
      </c>
      <c r="S27" s="11">
        <f t="shared" ref="S27:U27" si="73">2.17*12*S35</f>
        <v>12720.539999999999</v>
      </c>
      <c r="T27" s="11">
        <f t="shared" si="73"/>
        <v>11335.212</v>
      </c>
      <c r="U27" s="11">
        <f t="shared" si="73"/>
        <v>7858.8720000000003</v>
      </c>
      <c r="V27" s="62">
        <v>0.5</v>
      </c>
      <c r="W27" s="11">
        <f>0.5*12*W35</f>
        <v>2026.8000000000002</v>
      </c>
      <c r="X27" s="11">
        <f t="shared" ref="X27:Z27" si="74">0.5*12*X35</f>
        <v>3363.6000000000004</v>
      </c>
      <c r="Y27" s="11">
        <f t="shared" si="74"/>
        <v>3280.7999999999997</v>
      </c>
      <c r="Z27" s="11">
        <f t="shared" si="74"/>
        <v>1923.6000000000001</v>
      </c>
      <c r="AA27" s="56"/>
    </row>
    <row r="28" spans="1:27" s="1" customFormat="1">
      <c r="A28" s="90" t="s">
        <v>7</v>
      </c>
      <c r="B28" s="91"/>
      <c r="C28" s="91"/>
      <c r="D28" s="91"/>
      <c r="E28" s="91"/>
      <c r="F28" s="92"/>
      <c r="G28" s="29"/>
      <c r="H28" s="29">
        <f t="shared" ref="H28" si="75">SUM(H29:H33)</f>
        <v>11.659999999999997</v>
      </c>
      <c r="I28" s="12">
        <f t="shared" ref="I28:K28" si="76">SUM(I29:I33)</f>
        <v>80440.008000000002</v>
      </c>
      <c r="J28" s="12">
        <f t="shared" si="76"/>
        <v>82664.73599999999</v>
      </c>
      <c r="K28" s="12">
        <f t="shared" si="76"/>
        <v>93816.36</v>
      </c>
      <c r="L28" s="12">
        <f t="shared" ref="L28:Q28" si="77">SUM(L29:L33)</f>
        <v>85631.039999999994</v>
      </c>
      <c r="M28" s="40">
        <f t="shared" si="77"/>
        <v>9.370000000000001</v>
      </c>
      <c r="N28" s="12">
        <f t="shared" si="77"/>
        <v>57805.404000000002</v>
      </c>
      <c r="O28" s="12">
        <f t="shared" si="77"/>
        <v>59919.276000000005</v>
      </c>
      <c r="P28" s="12">
        <f t="shared" si="77"/>
        <v>58907.315999999992</v>
      </c>
      <c r="Q28" s="12">
        <f t="shared" si="77"/>
        <v>57715.451999999997</v>
      </c>
      <c r="R28" s="29">
        <v>7.3299999999999992</v>
      </c>
      <c r="S28" s="12">
        <f t="shared" ref="S28:U28" si="78">SUM(S29:S33)</f>
        <v>42968.460000000006</v>
      </c>
      <c r="T28" s="12">
        <f t="shared" si="78"/>
        <v>38288.987999999998</v>
      </c>
      <c r="U28" s="12">
        <f t="shared" si="78"/>
        <v>26546.328000000001</v>
      </c>
      <c r="V28" s="63">
        <f>V29+V30+V31+V32+V33</f>
        <v>7.6000000000000005</v>
      </c>
      <c r="W28" s="12">
        <f t="shared" ref="W28:Z28" si="79">SUM(W29:W33)</f>
        <v>30807.360000000001</v>
      </c>
      <c r="X28" s="12">
        <f t="shared" si="79"/>
        <v>51126.720000000001</v>
      </c>
      <c r="Y28" s="12">
        <f t="shared" si="79"/>
        <v>49868.159999999996</v>
      </c>
      <c r="Z28" s="12">
        <f t="shared" si="79"/>
        <v>29238.720000000001</v>
      </c>
      <c r="AA28" s="57"/>
    </row>
    <row r="29" spans="1:27" s="1" customFormat="1" ht="176.25" customHeight="1">
      <c r="A29" s="83" t="s">
        <v>39</v>
      </c>
      <c r="B29" s="83"/>
      <c r="C29" s="83"/>
      <c r="D29" s="83"/>
      <c r="E29" s="83"/>
      <c r="F29" s="83"/>
      <c r="G29" s="30" t="s">
        <v>44</v>
      </c>
      <c r="H29" s="28">
        <f>0.49+0.35+2.46+2.46+0.81+0.1+0.13+0.14+0.1+0.03+0.02+0.04+0.01</f>
        <v>7.1399999999999988</v>
      </c>
      <c r="I29" s="11">
        <f>7.14*12*I35</f>
        <v>49257.431999999993</v>
      </c>
      <c r="J29" s="11">
        <f t="shared" ref="J29:K29" si="80">7.14*12*J35</f>
        <v>50619.743999999992</v>
      </c>
      <c r="K29" s="11">
        <f t="shared" si="80"/>
        <v>57448.439999999995</v>
      </c>
      <c r="L29" s="11">
        <f t="shared" ref="L29" si="81">7.14*12*L35</f>
        <v>52436.159999999996</v>
      </c>
      <c r="M29" s="39">
        <f>0.71+0.34+1.8+1.8+0.71+0.14+0.15+0.15+0.03+0.02+0.05+0.01</f>
        <v>5.91</v>
      </c>
      <c r="N29" s="11">
        <f>5.91*12*N35</f>
        <v>36459.972000000002</v>
      </c>
      <c r="O29" s="11">
        <f t="shared" ref="O29:Q29" si="82">5.91*12*O35</f>
        <v>37793.267999999996</v>
      </c>
      <c r="P29" s="11">
        <f t="shared" si="82"/>
        <v>37154.987999999998</v>
      </c>
      <c r="Q29" s="11">
        <f t="shared" si="82"/>
        <v>36403.235999999997</v>
      </c>
      <c r="R29" s="28">
        <v>1.57</v>
      </c>
      <c r="S29" s="11">
        <f t="shared" ref="S29:U29" si="83">1.57*12*S35</f>
        <v>9203.34</v>
      </c>
      <c r="T29" s="11">
        <f t="shared" si="83"/>
        <v>8201.0519999999997</v>
      </c>
      <c r="U29" s="11">
        <f t="shared" si="83"/>
        <v>5685.9120000000003</v>
      </c>
      <c r="V29" s="62">
        <v>4.91</v>
      </c>
      <c r="W29" s="11">
        <f>4.91*12*W35</f>
        <v>19903.175999999999</v>
      </c>
      <c r="X29" s="11">
        <f t="shared" ref="X29:Z29" si="84">4.91*12*X35</f>
        <v>33030.552000000003</v>
      </c>
      <c r="Y29" s="11">
        <f t="shared" si="84"/>
        <v>32217.455999999998</v>
      </c>
      <c r="Z29" s="11">
        <f t="shared" si="84"/>
        <v>18889.752</v>
      </c>
      <c r="AA29" s="56"/>
    </row>
    <row r="30" spans="1:27" s="1" customFormat="1" ht="84.75" customHeight="1">
      <c r="A30" s="79" t="s">
        <v>6</v>
      </c>
      <c r="B30" s="79"/>
      <c r="C30" s="79"/>
      <c r="D30" s="79"/>
      <c r="E30" s="79"/>
      <c r="F30" s="79"/>
      <c r="G30" s="30" t="s">
        <v>5</v>
      </c>
      <c r="H30" s="28">
        <v>1.4</v>
      </c>
      <c r="I30" s="11">
        <f>1.4*12*I35</f>
        <v>9658.3199999999979</v>
      </c>
      <c r="J30" s="11">
        <f t="shared" ref="J30:K30" si="85">1.4*12*J35</f>
        <v>9925.4399999999969</v>
      </c>
      <c r="K30" s="11">
        <f t="shared" si="85"/>
        <v>11264.399999999998</v>
      </c>
      <c r="L30" s="11">
        <f t="shared" ref="L30" si="86">1.4*12*L35</f>
        <v>10281.599999999999</v>
      </c>
      <c r="M30" s="39">
        <v>1.2</v>
      </c>
      <c r="N30" s="11">
        <f>1.2*12*N35</f>
        <v>7403.04</v>
      </c>
      <c r="O30" s="11">
        <f t="shared" ref="O30:Q30" si="87">1.2*12*O35</f>
        <v>7673.7599999999993</v>
      </c>
      <c r="P30" s="11">
        <f t="shared" si="87"/>
        <v>7544.1599999999989</v>
      </c>
      <c r="Q30" s="11">
        <f t="shared" si="87"/>
        <v>7391.5199999999986</v>
      </c>
      <c r="R30" s="28">
        <v>1.85</v>
      </c>
      <c r="S30" s="11">
        <f t="shared" ref="S30:U30" si="88">1.85*12*S35</f>
        <v>10844.7</v>
      </c>
      <c r="T30" s="11">
        <f t="shared" si="88"/>
        <v>9663.6600000000017</v>
      </c>
      <c r="U30" s="11">
        <f t="shared" si="88"/>
        <v>6699.9600000000009</v>
      </c>
      <c r="V30" s="62">
        <v>1.2</v>
      </c>
      <c r="W30" s="11">
        <f>1.2*12*W35</f>
        <v>4864.32</v>
      </c>
      <c r="X30" s="11">
        <f t="shared" ref="X30:Z30" si="89">1.2*12*X35</f>
        <v>8072.6399999999994</v>
      </c>
      <c r="Y30" s="11">
        <f t="shared" si="89"/>
        <v>7873.9199999999983</v>
      </c>
      <c r="Z30" s="11">
        <f t="shared" si="89"/>
        <v>4616.6399999999994</v>
      </c>
      <c r="AA30" s="56"/>
    </row>
    <row r="31" spans="1:27" s="1" customFormat="1" ht="32.25">
      <c r="A31" s="79" t="s">
        <v>37</v>
      </c>
      <c r="B31" s="79"/>
      <c r="C31" s="79"/>
      <c r="D31" s="79"/>
      <c r="E31" s="79"/>
      <c r="F31" s="79"/>
      <c r="G31" s="31" t="s">
        <v>45</v>
      </c>
      <c r="H31" s="28">
        <f>0.51+0.3+0.22+0.12+0.17+0.22</f>
        <v>1.5399999999999998</v>
      </c>
      <c r="I31" s="11">
        <f>1.54*12*I35</f>
        <v>10624.152</v>
      </c>
      <c r="J31" s="11">
        <f t="shared" ref="J31:K31" si="90">1.54*12*J35</f>
        <v>10917.983999999999</v>
      </c>
      <c r="K31" s="11">
        <f t="shared" si="90"/>
        <v>12390.84</v>
      </c>
      <c r="L31" s="11">
        <f t="shared" ref="L31" si="91">1.54*12*L35</f>
        <v>11309.76</v>
      </c>
      <c r="M31" s="39">
        <f>0.49+0.14+0.21+0.11+0.16</f>
        <v>1.1099999999999999</v>
      </c>
      <c r="N31" s="11">
        <f>1.11*12*N35</f>
        <v>6847.8120000000008</v>
      </c>
      <c r="O31" s="11">
        <f t="shared" ref="O31:Q31" si="92">1.11*12*O35</f>
        <v>7098.2280000000001</v>
      </c>
      <c r="P31" s="11">
        <f t="shared" si="92"/>
        <v>6978.348</v>
      </c>
      <c r="Q31" s="11">
        <f t="shared" si="92"/>
        <v>6837.1559999999999</v>
      </c>
      <c r="R31" s="28">
        <v>2.1199999999999997</v>
      </c>
      <c r="S31" s="11">
        <f t="shared" ref="S31:U31" si="93">2.12*12*S35</f>
        <v>12427.44</v>
      </c>
      <c r="T31" s="11">
        <f t="shared" si="93"/>
        <v>11074.032000000001</v>
      </c>
      <c r="U31" s="11">
        <f t="shared" si="93"/>
        <v>7677.7920000000004</v>
      </c>
      <c r="V31" s="62">
        <v>0.76</v>
      </c>
      <c r="W31" s="11">
        <f>0.76*12*W35</f>
        <v>3080.7360000000003</v>
      </c>
      <c r="X31" s="11">
        <f t="shared" ref="X31:Z31" si="94">0.76*12*X35</f>
        <v>5112.6720000000005</v>
      </c>
      <c r="Y31" s="11">
        <f t="shared" si="94"/>
        <v>4986.8159999999998</v>
      </c>
      <c r="Z31" s="11">
        <f t="shared" si="94"/>
        <v>2923.8720000000008</v>
      </c>
      <c r="AA31" s="56"/>
    </row>
    <row r="32" spans="1:27" s="1" customFormat="1">
      <c r="A32" s="79" t="s">
        <v>50</v>
      </c>
      <c r="B32" s="79"/>
      <c r="C32" s="79"/>
      <c r="D32" s="79"/>
      <c r="E32" s="79"/>
      <c r="F32" s="79"/>
      <c r="G32" s="28" t="s">
        <v>4</v>
      </c>
      <c r="H32" s="28">
        <v>0.87</v>
      </c>
      <c r="I32" s="11">
        <f>0.87*12*I35</f>
        <v>6001.9559999999992</v>
      </c>
      <c r="J32" s="11">
        <f t="shared" ref="J32:K32" si="95">0.87*12*J35</f>
        <v>6167.9519999999993</v>
      </c>
      <c r="K32" s="11">
        <f t="shared" si="95"/>
        <v>7000.0199999999995</v>
      </c>
      <c r="L32" s="11">
        <f t="shared" ref="L32" si="96">0.87*12*L35</f>
        <v>6389.28</v>
      </c>
      <c r="M32" s="39">
        <v>0.94</v>
      </c>
      <c r="N32" s="11">
        <f>0.94*12*N35</f>
        <v>5799.0479999999998</v>
      </c>
      <c r="O32" s="11">
        <f t="shared" ref="O32:Q32" si="97">0.94*12*O35</f>
        <v>6011.1119999999992</v>
      </c>
      <c r="P32" s="11">
        <f t="shared" si="97"/>
        <v>5909.5919999999996</v>
      </c>
      <c r="Q32" s="11">
        <f t="shared" si="97"/>
        <v>5790.0239999999994</v>
      </c>
      <c r="R32" s="28">
        <v>1.36</v>
      </c>
      <c r="S32" s="11">
        <f t="shared" ref="S32:U32" si="98">1.36*12*S35</f>
        <v>7972.32</v>
      </c>
      <c r="T32" s="11">
        <f t="shared" si="98"/>
        <v>7104.0960000000005</v>
      </c>
      <c r="U32" s="11">
        <f t="shared" si="98"/>
        <v>4925.3760000000002</v>
      </c>
      <c r="V32" s="62">
        <v>0.52</v>
      </c>
      <c r="W32" s="11">
        <f>0.52*12*W35</f>
        <v>2107.8720000000003</v>
      </c>
      <c r="X32" s="11">
        <f t="shared" ref="X32:Z32" si="99">0.52*12*X35</f>
        <v>3498.1440000000002</v>
      </c>
      <c r="Y32" s="11">
        <f t="shared" si="99"/>
        <v>3412.0319999999997</v>
      </c>
      <c r="Z32" s="11">
        <f t="shared" si="99"/>
        <v>2000.5440000000003</v>
      </c>
      <c r="AA32" s="56"/>
    </row>
    <row r="33" spans="1:30" s="1" customFormat="1">
      <c r="A33" s="79" t="s">
        <v>51</v>
      </c>
      <c r="B33" s="79"/>
      <c r="C33" s="79"/>
      <c r="D33" s="79"/>
      <c r="E33" s="79"/>
      <c r="F33" s="79"/>
      <c r="G33" s="28" t="s">
        <v>8</v>
      </c>
      <c r="H33" s="28">
        <v>0.71</v>
      </c>
      <c r="I33" s="11">
        <f>0.71*12*I35</f>
        <v>4898.1479999999992</v>
      </c>
      <c r="J33" s="11">
        <f t="shared" ref="J33:K33" si="100">0.71*12*J35</f>
        <v>5033.6159999999991</v>
      </c>
      <c r="K33" s="11">
        <f t="shared" si="100"/>
        <v>5712.66</v>
      </c>
      <c r="L33" s="11">
        <f t="shared" ref="L33" si="101">0.71*12*L35</f>
        <v>5214.24</v>
      </c>
      <c r="M33" s="39">
        <v>0.21</v>
      </c>
      <c r="N33" s="11">
        <f>0.21*12*N35</f>
        <v>1295.5320000000002</v>
      </c>
      <c r="O33" s="11">
        <f t="shared" ref="O33:Q33" si="102">0.21*12*O35</f>
        <v>1342.9079999999999</v>
      </c>
      <c r="P33" s="11">
        <f t="shared" si="102"/>
        <v>1320.2280000000001</v>
      </c>
      <c r="Q33" s="11">
        <f t="shared" si="102"/>
        <v>1293.5159999999998</v>
      </c>
      <c r="R33" s="28">
        <v>0.43</v>
      </c>
      <c r="S33" s="11">
        <f t="shared" ref="S33:U33" si="103">0.43*12*S35</f>
        <v>2520.66</v>
      </c>
      <c r="T33" s="11">
        <f t="shared" si="103"/>
        <v>2246.1480000000001</v>
      </c>
      <c r="U33" s="11">
        <f t="shared" si="103"/>
        <v>1557.288</v>
      </c>
      <c r="V33" s="62">
        <v>0.21</v>
      </c>
      <c r="W33" s="11">
        <f>0.21*12*W35</f>
        <v>851.25600000000009</v>
      </c>
      <c r="X33" s="11">
        <f t="shared" ref="X33:Z33" si="104">0.21*12*X35</f>
        <v>1412.712</v>
      </c>
      <c r="Y33" s="11">
        <f t="shared" si="104"/>
        <v>1377.9359999999999</v>
      </c>
      <c r="Z33" s="11">
        <f t="shared" si="104"/>
        <v>807.91200000000003</v>
      </c>
      <c r="AA33" s="56"/>
    </row>
    <row r="34" spans="1:30" s="1" customFormat="1">
      <c r="A34" s="76" t="s">
        <v>2</v>
      </c>
      <c r="B34" s="77"/>
      <c r="C34" s="77"/>
      <c r="D34" s="77"/>
      <c r="E34" s="77"/>
      <c r="F34" s="78"/>
      <c r="G34" s="32"/>
      <c r="H34" s="32"/>
      <c r="I34" s="14">
        <f>I14+I22+I28</f>
        <v>125903.1</v>
      </c>
      <c r="J34" s="14">
        <f t="shared" ref="J34:K34" si="105">J14+J22+J28</f>
        <v>129385.19999999998</v>
      </c>
      <c r="K34" s="14">
        <f t="shared" si="105"/>
        <v>146839.5</v>
      </c>
      <c r="L34" s="14">
        <f t="shared" ref="L34" si="106">L14+L22+L28</f>
        <v>134028</v>
      </c>
      <c r="M34" s="47"/>
      <c r="N34" s="14">
        <f t="shared" ref="N34:Q34" si="107">N14+N22+N28</f>
        <v>133995.024</v>
      </c>
      <c r="O34" s="14">
        <f t="shared" si="107"/>
        <v>138895.05599999998</v>
      </c>
      <c r="P34" s="14">
        <f t="shared" si="107"/>
        <v>136549.29599999997</v>
      </c>
      <c r="Q34" s="14">
        <f t="shared" si="107"/>
        <v>133786.51199999999</v>
      </c>
      <c r="R34" s="51"/>
      <c r="S34" s="14">
        <f t="shared" ref="S34:Z34" si="108">S14+S22+S28</f>
        <v>127146.78000000001</v>
      </c>
      <c r="T34" s="14">
        <f t="shared" si="108"/>
        <v>113299.88400000001</v>
      </c>
      <c r="U34" s="14">
        <f t="shared" si="108"/>
        <v>78552.504000000015</v>
      </c>
      <c r="V34" s="64">
        <f t="shared" si="108"/>
        <v>21.35</v>
      </c>
      <c r="W34" s="14">
        <f t="shared" si="108"/>
        <v>86544.36</v>
      </c>
      <c r="X34" s="14">
        <f t="shared" si="108"/>
        <v>143625.72</v>
      </c>
      <c r="Y34" s="14">
        <f t="shared" si="108"/>
        <v>140090.15999999997</v>
      </c>
      <c r="Z34" s="14">
        <f t="shared" si="108"/>
        <v>82137.72</v>
      </c>
      <c r="AA34" s="25"/>
      <c r="AB34" s="21">
        <f>SUM(I34:Z34)</f>
        <v>1850800.1660000002</v>
      </c>
      <c r="AC34" s="1">
        <f>AB34/12*0.05</f>
        <v>7711.6673583333341</v>
      </c>
    </row>
    <row r="35" spans="1:30" s="16" customFormat="1">
      <c r="A35" s="93" t="s">
        <v>1</v>
      </c>
      <c r="B35" s="93"/>
      <c r="C35" s="93"/>
      <c r="D35" s="93"/>
      <c r="E35" s="93"/>
      <c r="F35" s="93"/>
      <c r="G35" s="33"/>
      <c r="H35" s="44"/>
      <c r="I35" s="23" t="s">
        <v>67</v>
      </c>
      <c r="J35" s="23" t="s">
        <v>68</v>
      </c>
      <c r="K35" s="23" t="s">
        <v>69</v>
      </c>
      <c r="L35" s="23" t="s">
        <v>70</v>
      </c>
      <c r="M35" s="48"/>
      <c r="N35" s="46" t="s">
        <v>71</v>
      </c>
      <c r="O35" s="46" t="s">
        <v>72</v>
      </c>
      <c r="P35" s="46" t="s">
        <v>73</v>
      </c>
      <c r="Q35" s="46" t="s">
        <v>74</v>
      </c>
      <c r="R35" s="52"/>
      <c r="S35" s="50">
        <v>488.5</v>
      </c>
      <c r="T35" s="50">
        <v>435.3</v>
      </c>
      <c r="U35" s="50">
        <v>301.8</v>
      </c>
      <c r="V35" s="65"/>
      <c r="W35" s="59" t="s">
        <v>80</v>
      </c>
      <c r="X35" s="59" t="s">
        <v>81</v>
      </c>
      <c r="Y35" s="59" t="s">
        <v>82</v>
      </c>
      <c r="Z35" s="59" t="s">
        <v>83</v>
      </c>
      <c r="AA35" s="58"/>
      <c r="AB35" s="1"/>
      <c r="AC35" s="1"/>
      <c r="AD35" s="1"/>
    </row>
    <row r="36" spans="1:30" s="2" customFormat="1" ht="25.5" customHeight="1">
      <c r="A36" s="87" t="s">
        <v>49</v>
      </c>
      <c r="B36" s="88"/>
      <c r="C36" s="88"/>
      <c r="D36" s="88"/>
      <c r="E36" s="88"/>
      <c r="F36" s="89"/>
      <c r="G36" s="34"/>
      <c r="H36" s="37">
        <f>H14+H22+H28</f>
        <v>18.249999999999996</v>
      </c>
      <c r="I36" s="15">
        <f>I34 /12/I35</f>
        <v>18.250000000000004</v>
      </c>
      <c r="J36" s="15">
        <f t="shared" ref="J36:K36" si="109">J34 /12/J35</f>
        <v>18.25</v>
      </c>
      <c r="K36" s="15">
        <f t="shared" si="109"/>
        <v>18.25</v>
      </c>
      <c r="L36" s="15">
        <f t="shared" ref="L36" si="110">L34 /12/L35</f>
        <v>18.25</v>
      </c>
      <c r="M36" s="49">
        <f t="shared" ref="M36" si="111">M14+M22+M28</f>
        <v>21.72</v>
      </c>
      <c r="N36" s="15">
        <f t="shared" ref="N36:Q36" si="112">N34/12/N35</f>
        <v>21.72</v>
      </c>
      <c r="O36" s="15">
        <f t="shared" si="112"/>
        <v>21.719999999999995</v>
      </c>
      <c r="P36" s="15">
        <f t="shared" si="112"/>
        <v>21.72</v>
      </c>
      <c r="Q36" s="15">
        <f t="shared" si="112"/>
        <v>21.72</v>
      </c>
      <c r="R36" s="37">
        <v>21.689999999999998</v>
      </c>
      <c r="S36" s="15">
        <f t="shared" ref="S36:U36" si="113">S34/12/S35</f>
        <v>21.69</v>
      </c>
      <c r="T36" s="15">
        <f t="shared" si="113"/>
        <v>21.69</v>
      </c>
      <c r="U36" s="15">
        <f t="shared" si="113"/>
        <v>21.690000000000005</v>
      </c>
      <c r="V36" s="66">
        <f t="shared" ref="V36" si="114">V14+V22+V28</f>
        <v>21.35</v>
      </c>
      <c r="W36" s="60">
        <f t="shared" ref="W36:Z36" si="115">W34 /12/W35</f>
        <v>21.349999999999998</v>
      </c>
      <c r="X36" s="60">
        <f t="shared" si="115"/>
        <v>21.349999999999998</v>
      </c>
      <c r="Y36" s="60">
        <f t="shared" si="115"/>
        <v>21.349999999999998</v>
      </c>
      <c r="Z36" s="60">
        <f t="shared" si="115"/>
        <v>21.35</v>
      </c>
      <c r="AA36" s="25"/>
      <c r="AB36" s="16"/>
      <c r="AC36" s="16"/>
      <c r="AD36" s="16"/>
    </row>
    <row r="37" spans="1:30" s="2" customFormat="1" ht="25.5" customHeight="1">
      <c r="A37" s="24"/>
      <c r="B37" s="24"/>
      <c r="C37" s="24"/>
      <c r="D37" s="24"/>
      <c r="E37" s="24"/>
      <c r="F37" s="24"/>
      <c r="G37" s="35"/>
      <c r="H37" s="38"/>
      <c r="I37" s="25"/>
      <c r="J37" s="25"/>
      <c r="K37" s="25"/>
      <c r="L37" s="25"/>
      <c r="M37" s="38"/>
      <c r="N37" s="25"/>
      <c r="O37" s="25"/>
      <c r="P37" s="25"/>
      <c r="Q37" s="25"/>
      <c r="R37" s="38"/>
      <c r="S37" s="25"/>
      <c r="T37" s="25"/>
      <c r="U37" s="16"/>
      <c r="V37" s="67"/>
      <c r="W37" s="61"/>
      <c r="X37" s="61"/>
      <c r="Y37" s="61"/>
      <c r="Z37" s="61"/>
      <c r="AA37" s="16"/>
      <c r="AB37" s="16"/>
      <c r="AC37" s="16"/>
      <c r="AD37" s="16"/>
    </row>
    <row r="38" spans="1:30" s="2" customFormat="1" ht="15" customHeight="1">
      <c r="A38" s="24"/>
      <c r="B38" s="24"/>
      <c r="C38" s="24"/>
      <c r="D38" s="24"/>
      <c r="E38" s="24"/>
      <c r="F38" s="24"/>
      <c r="G38" s="35"/>
      <c r="H38" s="38"/>
      <c r="I38" s="25"/>
      <c r="J38" s="25"/>
      <c r="K38" s="25"/>
      <c r="L38" s="25"/>
      <c r="M38" s="38"/>
      <c r="N38" s="25"/>
      <c r="O38" s="25"/>
      <c r="P38" s="25"/>
      <c r="Q38" s="25"/>
      <c r="R38" s="41"/>
      <c r="S38" s="25"/>
      <c r="T38" s="25"/>
      <c r="U38" s="16"/>
      <c r="V38" s="67"/>
      <c r="W38" s="61"/>
      <c r="X38" s="61"/>
      <c r="Y38" s="61"/>
      <c r="Z38" s="61"/>
      <c r="AA38" s="16"/>
      <c r="AB38" s="16"/>
      <c r="AC38" s="16"/>
      <c r="AD38" s="16"/>
    </row>
    <row r="39" spans="1:30" s="2" customFormat="1" ht="15.75" customHeight="1">
      <c r="A39" s="24"/>
      <c r="B39" s="24"/>
      <c r="C39" s="24"/>
      <c r="D39" s="24"/>
      <c r="E39" s="24"/>
      <c r="F39" s="24"/>
      <c r="G39" s="35"/>
      <c r="H39" s="38"/>
      <c r="I39" s="25"/>
      <c r="J39" s="25"/>
      <c r="K39" s="25"/>
      <c r="L39" s="25"/>
      <c r="M39" s="38"/>
      <c r="N39" s="25"/>
      <c r="O39" s="25"/>
      <c r="P39" s="25"/>
      <c r="Q39" s="25"/>
      <c r="R39" s="41"/>
      <c r="S39" s="25"/>
      <c r="T39" s="25"/>
      <c r="U39" s="16"/>
      <c r="V39" s="67"/>
      <c r="W39" s="6"/>
      <c r="X39" s="6"/>
      <c r="Y39" s="6"/>
      <c r="Z39" s="6"/>
      <c r="AA39" s="16"/>
      <c r="AB39" s="16"/>
      <c r="AC39" s="16"/>
      <c r="AD39" s="16"/>
    </row>
    <row r="40" spans="1:30" s="2" customFormat="1" ht="25.5" customHeight="1">
      <c r="A40" s="24"/>
      <c r="B40" s="24"/>
      <c r="C40" s="24"/>
      <c r="D40" s="24"/>
      <c r="E40" s="24"/>
      <c r="F40" s="24"/>
      <c r="G40" s="35"/>
      <c r="H40" s="38"/>
      <c r="I40" s="25"/>
      <c r="J40" s="25"/>
      <c r="K40" s="25"/>
      <c r="L40" s="25"/>
      <c r="M40" s="38"/>
      <c r="N40" s="25"/>
      <c r="O40" s="25"/>
      <c r="P40" s="25"/>
      <c r="Q40" s="25"/>
      <c r="R40" s="41"/>
      <c r="S40" s="25"/>
      <c r="T40" s="25"/>
      <c r="U40" s="16"/>
      <c r="V40" s="68"/>
      <c r="W40" s="6"/>
      <c r="X40" s="6"/>
      <c r="Y40" s="6"/>
      <c r="Z40" s="6"/>
      <c r="AA40" s="16"/>
      <c r="AB40" s="16"/>
      <c r="AC40" s="16"/>
      <c r="AD40" s="16"/>
    </row>
    <row r="41" spans="1:30" s="1" customFormat="1" ht="12.75" customHeight="1">
      <c r="A41" s="6"/>
      <c r="B41" s="6"/>
      <c r="C41" s="6"/>
      <c r="D41" s="6"/>
      <c r="E41" s="6"/>
      <c r="F41" s="6"/>
      <c r="G41" s="26"/>
      <c r="H41" s="36"/>
      <c r="I41" s="7"/>
      <c r="J41" s="7"/>
      <c r="K41" s="7"/>
      <c r="L41" s="8"/>
      <c r="M41" s="36"/>
      <c r="N41" s="8"/>
      <c r="O41" s="8"/>
      <c r="P41" s="8"/>
      <c r="Q41" s="8"/>
      <c r="R41" s="42"/>
      <c r="S41" s="8"/>
      <c r="T41" s="8"/>
      <c r="V41" s="26"/>
      <c r="W41" s="6"/>
      <c r="X41" s="6"/>
      <c r="Y41" s="6"/>
      <c r="Z41" s="6"/>
    </row>
    <row r="42" spans="1:30" s="1" customFormat="1" ht="12.75" hidden="1" customHeight="1">
      <c r="A42" s="6"/>
      <c r="B42" s="6"/>
      <c r="C42" s="6"/>
      <c r="D42" s="6"/>
      <c r="E42" s="6"/>
      <c r="F42" s="6"/>
      <c r="G42" s="26"/>
      <c r="H42" s="36"/>
      <c r="I42" s="7"/>
      <c r="J42" s="7"/>
      <c r="K42" s="7"/>
      <c r="L42" s="8"/>
      <c r="M42" s="36"/>
      <c r="N42" s="8"/>
      <c r="O42" s="8"/>
      <c r="P42" s="8"/>
      <c r="Q42" s="8"/>
      <c r="R42" s="36"/>
      <c r="S42" s="8"/>
      <c r="T42" s="8"/>
      <c r="V42" s="26"/>
      <c r="W42" s="6"/>
      <c r="X42" s="6"/>
      <c r="Y42" s="6"/>
      <c r="Z42" s="6"/>
    </row>
    <row r="43" spans="1:30" s="1" customFormat="1">
      <c r="A43" s="6"/>
      <c r="B43" s="6"/>
      <c r="C43" s="6"/>
      <c r="D43" s="6"/>
      <c r="E43" s="6"/>
      <c r="F43" s="6"/>
      <c r="G43" s="26"/>
      <c r="H43" s="36"/>
      <c r="I43" s="7"/>
      <c r="J43" s="7"/>
      <c r="K43" s="7"/>
      <c r="L43" s="8"/>
      <c r="M43" s="36"/>
      <c r="N43" s="8"/>
      <c r="O43" s="8"/>
      <c r="P43" s="8"/>
      <c r="Q43" s="8"/>
      <c r="R43" s="36"/>
      <c r="S43" s="8"/>
      <c r="T43" s="8"/>
      <c r="V43" s="26"/>
      <c r="W43" s="6"/>
      <c r="X43" s="6"/>
      <c r="Y43" s="6"/>
      <c r="Z43" s="6"/>
    </row>
    <row r="44" spans="1:30" s="1" customFormat="1">
      <c r="A44" s="6"/>
      <c r="B44" s="6"/>
      <c r="C44" s="6"/>
      <c r="D44" s="6"/>
      <c r="E44" s="6"/>
      <c r="F44" s="6"/>
      <c r="G44" s="26"/>
      <c r="H44" s="36"/>
      <c r="I44" s="7"/>
      <c r="J44" s="7"/>
      <c r="K44" s="7"/>
      <c r="L44" s="8"/>
      <c r="M44" s="36"/>
      <c r="N44" s="8"/>
      <c r="O44" s="8"/>
      <c r="P44" s="8"/>
      <c r="Q44" s="8"/>
      <c r="R44" s="36"/>
      <c r="S44" s="8"/>
      <c r="T44" s="8"/>
      <c r="V44" s="26"/>
      <c r="W44" s="6"/>
      <c r="X44" s="6"/>
      <c r="Y44" s="6"/>
      <c r="Z44" s="6"/>
    </row>
    <row r="45" spans="1:30" s="1" customFormat="1">
      <c r="A45" s="6" t="s">
        <v>0</v>
      </c>
      <c r="B45" s="6">
        <v>12</v>
      </c>
      <c r="C45" s="6"/>
      <c r="D45" s="6"/>
      <c r="E45" s="6"/>
      <c r="F45" s="6"/>
      <c r="G45" s="26"/>
      <c r="H45" s="36"/>
      <c r="I45" s="7"/>
      <c r="J45" s="7"/>
      <c r="K45" s="7"/>
      <c r="L45" s="8"/>
      <c r="M45" s="36"/>
      <c r="N45" s="8"/>
      <c r="O45" s="8"/>
      <c r="P45" s="8"/>
      <c r="Q45" s="8"/>
      <c r="R45" s="36"/>
      <c r="S45" s="8"/>
      <c r="T45" s="8"/>
      <c r="V45" s="26"/>
      <c r="W45" s="6"/>
      <c r="X45" s="6"/>
      <c r="Y45" s="6"/>
      <c r="Z45" s="6"/>
    </row>
    <row r="46" spans="1:30" s="1" customFormat="1">
      <c r="A46" s="6"/>
      <c r="B46" s="6"/>
      <c r="C46" s="6"/>
      <c r="D46" s="6"/>
      <c r="E46" s="6"/>
      <c r="F46" s="6"/>
      <c r="G46" s="26"/>
      <c r="H46" s="36"/>
      <c r="I46" s="7"/>
      <c r="J46" s="7"/>
      <c r="K46" s="7"/>
      <c r="L46" s="8"/>
      <c r="M46" s="36"/>
      <c r="N46" s="8"/>
      <c r="O46" s="8"/>
      <c r="P46" s="8"/>
      <c r="Q46" s="8"/>
      <c r="R46" s="36"/>
      <c r="S46" s="8"/>
      <c r="T46" s="8"/>
      <c r="V46" s="26"/>
      <c r="W46" s="6"/>
      <c r="X46" s="6"/>
      <c r="Y46" s="6"/>
      <c r="Z46" s="6"/>
    </row>
  </sheetData>
  <mergeCells count="42">
    <mergeCell ref="V7:V8"/>
    <mergeCell ref="A1:G1"/>
    <mergeCell ref="A2:G2"/>
    <mergeCell ref="A3:G3"/>
    <mergeCell ref="A4:G4"/>
    <mergeCell ref="S6:T6"/>
    <mergeCell ref="A6:F8"/>
    <mergeCell ref="G7:G8"/>
    <mergeCell ref="M7:M8"/>
    <mergeCell ref="G6:L6"/>
    <mergeCell ref="M6:Q6"/>
    <mergeCell ref="H7:H8"/>
    <mergeCell ref="R7:R8"/>
    <mergeCell ref="H1:T1"/>
    <mergeCell ref="A9:F9"/>
    <mergeCell ref="A25:F25"/>
    <mergeCell ref="A26:F26"/>
    <mergeCell ref="A36:F36"/>
    <mergeCell ref="A28:F28"/>
    <mergeCell ref="A29:F29"/>
    <mergeCell ref="A30:F30"/>
    <mergeCell ref="A33:F33"/>
    <mergeCell ref="A31:F31"/>
    <mergeCell ref="A32:F32"/>
    <mergeCell ref="A35:F35"/>
    <mergeCell ref="A24:F24"/>
    <mergeCell ref="A16:F16"/>
    <mergeCell ref="A17:F17"/>
    <mergeCell ref="A18:F18"/>
    <mergeCell ref="A19:F19"/>
    <mergeCell ref="A34:F34"/>
    <mergeCell ref="A15:F15"/>
    <mergeCell ref="A10:F10"/>
    <mergeCell ref="A11:F11"/>
    <mergeCell ref="A12:F12"/>
    <mergeCell ref="A13:F13"/>
    <mergeCell ref="A14:F14"/>
    <mergeCell ref="A27:F27"/>
    <mergeCell ref="A20:F20"/>
    <mergeCell ref="A21:F21"/>
    <mergeCell ref="A22:F22"/>
    <mergeCell ref="A23:F23"/>
  </mergeCells>
  <pageMargins left="0.23622047244094491" right="0.11811023622047245" top="0.23622047244094491" bottom="0.19685039370078741" header="0.31496062992125984" footer="0.31496062992125984"/>
  <pageSetup paperSize="9" scale="5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2016-10-14T08:16:14Z</cp:lastPrinted>
  <dcterms:created xsi:type="dcterms:W3CDTF">2013-04-24T10:34:01Z</dcterms:created>
  <dcterms:modified xsi:type="dcterms:W3CDTF">2016-10-19T11:36:32Z</dcterms:modified>
</cp:coreProperties>
</file>